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book.xml" ContentType="application/vnd.openxmlformats-officedocument.spreadsheetml.sheet.main+xml"/>
  <Override PartName="/xl/comments3.xml" ContentType="application/vnd.openxmlformats-officedocument.spreadsheetml.comments+xml"/>
  <Override PartName="/xl/media/image9.jpeg" ContentType="image/jpeg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3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comments4.xml" ContentType="application/vnd.openxmlformats-officedocument.spreadsheetml.comment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Ernest4x4prot" sheetId="1" state="visible" r:id="rId2"/>
    <sheet name="Ernest5x5dernier" sheetId="2" state="visible" r:id="rId3"/>
    <sheet name="Ernest4x4petit" sheetId="3" state="visible" r:id="rId4"/>
    <sheet name="Ernest3x3" sheetId="4" state="visible" r:id="rId5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3" authorId="0">
      <text>
        <r>
          <rPr>
            <sz val="10"/>
            <rFont val="Arial"/>
            <family val="2"/>
            <charset val="1"/>
          </rPr>
          <t xml:space="preserve">Nom de la recette</t>
        </r>
      </text>
    </comment>
    <comment ref="B4" authorId="0">
      <text>
        <r>
          <rPr>
            <sz val="10"/>
            <rFont val="Arial"/>
            <family val="2"/>
            <charset val="1"/>
          </rPr>
          <t xml:space="preserve">Matiére Premiére
</t>
        </r>
      </text>
    </comment>
    <comment ref="C3" authorId="0">
      <text>
        <r>
          <rPr>
            <sz val="10"/>
            <rFont val="Arial"/>
            <family val="2"/>
            <charset val="1"/>
          </rPr>
          <t xml:space="preserve">Date 
</t>
        </r>
      </text>
    </comment>
    <comment ref="C4" authorId="0">
      <text>
        <r>
          <rPr>
            <sz val="10"/>
            <rFont val="Arial"/>
            <family val="2"/>
            <charset val="1"/>
          </rPr>
          <t xml:space="preserve">Quantité
La somme des quantités de la recette peut être différente de 100</t>
        </r>
      </text>
    </comment>
    <comment ref="F3" authorId="0">
      <text>
        <r>
          <rPr>
            <sz val="10"/>
            <rFont val="Arial"/>
            <family val="2"/>
            <charset val="1"/>
          </rPr>
          <t xml:space="preserve">Matériau à faire varier verticalement
</t>
        </r>
      </text>
    </comment>
    <comment ref="F4" authorId="0">
      <text>
        <r>
          <rPr>
            <sz val="10"/>
            <rFont val="Arial"/>
            <family val="2"/>
            <charset val="1"/>
          </rPr>
          <t xml:space="preserve">Ajout pour 100g du matériau à faire varier en vertical</t>
        </r>
      </text>
    </comment>
    <comment ref="G3" authorId="0">
      <text>
        <r>
          <rPr>
            <sz val="10"/>
            <rFont val="Arial"/>
            <family val="2"/>
            <charset val="1"/>
          </rPr>
          <t xml:space="preserve">Matériau à faire varier en horizontal</t>
        </r>
      </text>
    </comment>
    <comment ref="G4" authorId="0">
      <text>
        <r>
          <rPr>
            <sz val="10"/>
            <rFont val="Arial"/>
            <family val="2"/>
            <charset val="1"/>
          </rPr>
          <t xml:space="preserve">Quantité qui serait ajoutée pour la variation horizontale si on pesait la recette sur 100g
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3" authorId="0">
      <text>
        <r>
          <rPr>
            <sz val="10"/>
            <rFont val="Arial"/>
            <family val="2"/>
            <charset val="1"/>
          </rPr>
          <t xml:space="preserve"> Mettre nom de la recette</t>
        </r>
      </text>
    </comment>
    <comment ref="B4" authorId="0">
      <text>
        <r>
          <rPr>
            <sz val="10"/>
            <rFont val="Arial"/>
            <family val="2"/>
            <charset val="1"/>
          </rPr>
          <t xml:space="preserve">matériau</t>
        </r>
      </text>
    </comment>
    <comment ref="C3" authorId="0">
      <text>
        <r>
          <rPr>
            <sz val="10"/>
            <rFont val="Arial"/>
            <family val="2"/>
            <charset val="1"/>
          </rPr>
          <t xml:space="preserve">Date </t>
        </r>
      </text>
    </comment>
    <comment ref="C4" authorId="0">
      <text>
        <r>
          <rPr>
            <sz val="10"/>
            <rFont val="Arial"/>
            <family val="2"/>
            <charset val="1"/>
          </rPr>
          <t xml:space="preserve">Quantité
</t>
        </r>
      </text>
    </comment>
    <comment ref="F3" authorId="0">
      <text>
        <r>
          <rPr>
            <sz val="10"/>
            <rFont val="Arial"/>
            <family val="2"/>
            <charset val="1"/>
          </rPr>
          <t xml:space="preserve">Ajout en vertical</t>
        </r>
      </text>
    </comment>
    <comment ref="F4" authorId="0">
      <text>
        <r>
          <rPr>
            <sz val="10"/>
            <rFont val="Arial"/>
            <family val="2"/>
            <charset val="1"/>
          </rPr>
          <t xml:space="preserve">Ajout pour 100g de recette en vertical</t>
        </r>
      </text>
    </comment>
    <comment ref="G3" authorId="0">
      <text>
        <r>
          <rPr>
            <sz val="10"/>
            <rFont val="Arial"/>
            <family val="2"/>
            <charset val="1"/>
          </rPr>
          <t xml:space="preserve">Matériau progressant en horizontal</t>
        </r>
      </text>
    </comment>
    <comment ref="G4" authorId="0">
      <text>
        <r>
          <rPr>
            <sz val="10"/>
            <rFont val="Arial"/>
            <family val="2"/>
            <charset val="1"/>
          </rPr>
          <t xml:space="preserve">Ajout en horizontal</t>
        </r>
      </text>
    </comment>
    <comment ref="J18" authorId="0">
      <text>
        <r>
          <rPr>
            <sz val="10"/>
            <rFont val="Arial"/>
            <family val="2"/>
            <charset val="1"/>
          </rPr>
          <t xml:space="preserve">repérer sur la photo la case dont vous voulez calculer la recette</t>
        </r>
      </text>
    </comment>
    <comment ref="K18" authorId="0">
      <text>
        <r>
          <rPr>
            <sz val="10"/>
            <rFont val="Arial"/>
            <family val="2"/>
            <charset val="1"/>
          </rPr>
          <t xml:space="preserve">repérer sur la photo la case dont vous voulez calculer la recette</t>
        </r>
      </text>
    </comment>
    <comment ref="L18" authorId="0">
      <text>
        <r>
          <rPr>
            <sz val="10"/>
            <rFont val="Arial"/>
            <family val="2"/>
            <charset val="1"/>
          </rPr>
          <t xml:space="preserve">repérer sur la photo la case dont vous voulez calculer la recette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3" authorId="0">
      <text>
        <r>
          <rPr>
            <sz val="10"/>
            <rFont val="Arial"/>
            <family val="2"/>
            <charset val="1"/>
          </rPr>
          <t xml:space="preserve">Titre recette</t>
        </r>
      </text>
    </comment>
    <comment ref="C3" authorId="0">
      <text>
        <r>
          <rPr>
            <sz val="10"/>
            <rFont val="Arial"/>
            <family val="2"/>
            <charset val="1"/>
          </rPr>
          <t xml:space="preserve">Date</t>
        </r>
      </text>
    </comment>
    <comment ref="F3" authorId="0">
      <text>
        <r>
          <rPr>
            <sz val="10"/>
            <rFont val="Arial"/>
            <family val="2"/>
            <charset val="1"/>
          </rPr>
          <t xml:space="preserve">
Matériau à faire varier en vertical
</t>
        </r>
      </text>
    </comment>
    <comment ref="F4" authorId="0">
      <text>
        <r>
          <rPr>
            <sz val="10"/>
            <rFont val="Arial"/>
            <family val="2"/>
            <charset val="1"/>
          </rPr>
          <t xml:space="preserve">Ajout en  vertical en pourcent</t>
        </r>
      </text>
    </comment>
    <comment ref="G3" authorId="0">
      <text>
        <r>
          <rPr>
            <sz val="10"/>
            <rFont val="Arial"/>
            <family val="2"/>
            <charset val="1"/>
          </rPr>
          <t xml:space="preserve">Matériau à faire varier en horizontal</t>
        </r>
      </text>
    </comment>
    <comment ref="G4" authorId="0">
      <text>
        <r>
          <rPr>
            <sz val="10"/>
            <rFont val="Arial"/>
            <family val="2"/>
            <charset val="1"/>
          </rPr>
          <t xml:space="preserve">Ajout en horizontal en %</t>
        </r>
      </text>
    </comment>
    <comment ref="J18" authorId="0">
      <text>
        <r>
          <rPr>
            <sz val="10"/>
            <rFont val="Arial"/>
            <family val="2"/>
            <charset val="1"/>
          </rPr>
          <t xml:space="preserve">Mettre la référence de la case
</t>
        </r>
      </text>
    </comment>
  </commentList>
</comments>
</file>

<file path=xl/sharedStrings.xml><?xml version="1.0" encoding="utf-8"?>
<sst xmlns="http://schemas.openxmlformats.org/spreadsheetml/2006/main" count="175" uniqueCount="42">
  <si>
    <t xml:space="preserve">Blanc</t>
  </si>
  <si>
    <t xml:space="preserve">sept2022</t>
  </si>
  <si>
    <t xml:space="preserve">Variation</t>
  </si>
  <si>
    <t xml:space="preserve">Cendre</t>
  </si>
  <si>
    <t xml:space="preserve">Talc</t>
  </si>
  <si>
    <t xml:space="preserve">A peser</t>
  </si>
  <si>
    <t xml:space="preserve">g</t>
  </si>
  <si>
    <t xml:space="preserve">A</t>
  </si>
  <si>
    <t xml:space="preserve">D</t>
  </si>
  <si>
    <t xml:space="preserve">en %</t>
  </si>
  <si>
    <t xml:space="preserve">Ajout dans</t>
  </si>
  <si>
    <t xml:space="preserve">Orthose</t>
  </si>
  <si>
    <t xml:space="preserve">Godet A</t>
  </si>
  <si>
    <t xml:space="preserve">en gramme</t>
  </si>
  <si>
    <t xml:space="preserve">silice</t>
  </si>
  <si>
    <t xml:space="preserve">Eau</t>
  </si>
  <si>
    <t xml:space="preserve">en millilitre</t>
  </si>
  <si>
    <t xml:space="preserve">Os</t>
  </si>
  <si>
    <t xml:space="preserve">Godet C</t>
  </si>
  <si>
    <t xml:space="preserve">ml</t>
  </si>
  <si>
    <t xml:space="preserve">Godet D</t>
  </si>
  <si>
    <t xml:space="preserve">Total</t>
  </si>
  <si>
    <t xml:space="preserve">eau</t>
  </si>
  <si>
    <t xml:space="preserve">g ou ml</t>
  </si>
  <si>
    <t xml:space="preserve">B</t>
  </si>
  <si>
    <t xml:space="preserve">C</t>
  </si>
  <si>
    <t xml:space="preserve">Recette du</t>
  </si>
  <si>
    <t xml:space="preserve">Alain Fichot Oct 2022</t>
  </si>
  <si>
    <t xml:space="preserve">Feldpath</t>
  </si>
  <si>
    <t xml:space="preserve">gertsley</t>
  </si>
  <si>
    <t xml:space="preserve">kaolin</t>
  </si>
  <si>
    <t xml:space="preserve">Chaux</t>
  </si>
  <si>
    <t xml:space="preserve">20 g</t>
  </si>
  <si>
    <t xml:space="preserve">Feldspath</t>
  </si>
  <si>
    <t xml:space="preserve">titane </t>
  </si>
  <si>
    <t xml:space="preserve">fer</t>
  </si>
  <si>
    <t xml:space="preserve">cobalt</t>
  </si>
  <si>
    <t xml:space="preserve">Alain Fichot sept 2022</t>
  </si>
  <si>
    <t xml:space="preserve">Ernest3x3</t>
  </si>
  <si>
    <t xml:space="preserve">RDC</t>
  </si>
  <si>
    <t xml:space="preserve">Kaolin</t>
  </si>
  <si>
    <t xml:space="preserve">      Alain Fichot  mise à jour oct 2022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</si>
</sst>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#,##0.00\ [$€-40C];[RED]\-#,##0.00\ [$€-40C]"/>
    <numFmt numFmtId="166" formatCode="DD/MM/YY"/>
    <numFmt numFmtId="167" formatCode="0.00"/>
    <numFmt numFmtId="168" formatCode="0.0"/>
    <numFmt numFmtId="169" formatCode="0"/>
  </numFmts>
  <fonts count="2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Arial"/>
      <family val="2"/>
      <charset val="1"/>
    </font>
    <font>
      <sz val="10"/>
      <color rgb="FFFFFFFF"/>
      <name val="Arial"/>
      <family val="2"/>
      <charset val="1"/>
    </font>
    <font>
      <sz val="12"/>
      <name val="Arial"/>
      <family val="2"/>
      <charset val="1"/>
    </font>
    <font>
      <sz val="16"/>
      <color rgb="FF000000"/>
      <name val="Arial"/>
      <family val="2"/>
      <charset val="1"/>
    </font>
    <font>
      <sz val="16"/>
      <name val="Arial"/>
      <family val="2"/>
      <charset val="1"/>
    </font>
    <font>
      <b val="true"/>
      <sz val="14"/>
      <name val="Arial"/>
      <family val="2"/>
      <charset val="1"/>
    </font>
    <font>
      <sz val="15"/>
      <name val="Arial"/>
      <family val="2"/>
      <charset val="1"/>
    </font>
    <font>
      <b val="true"/>
      <sz val="15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5"/>
      <color rgb="FFC9211E"/>
      <name val="Arial"/>
      <family val="2"/>
      <charset val="1"/>
    </font>
    <font>
      <sz val="14"/>
      <name val="Arial"/>
      <family val="2"/>
      <charset val="1"/>
    </font>
    <font>
      <b val="true"/>
      <sz val="12"/>
      <name val="Arial"/>
      <family val="2"/>
      <charset val="1"/>
    </font>
    <font>
      <sz val="15"/>
      <color rgb="FFC9211E"/>
      <name val="Arial"/>
      <family val="2"/>
      <charset val="1"/>
    </font>
    <font>
      <b val="true"/>
      <sz val="13"/>
      <name val="Arial"/>
      <family val="2"/>
      <charset val="1"/>
    </font>
    <font>
      <sz val="10"/>
      <color rgb="FFC9211E"/>
      <name val="Arial"/>
      <family val="2"/>
      <charset val="1"/>
    </font>
    <font>
      <sz val="10"/>
      <color rgb="FFCCCCCC"/>
      <name val="Arial"/>
      <family val="2"/>
      <charset val="1"/>
    </font>
    <font>
      <sz val="10"/>
      <color rgb="FFB2B2B2"/>
      <name val="Arial"/>
      <family val="2"/>
      <charset val="1"/>
    </font>
    <font>
      <sz val="12"/>
      <name val="Times New Roman"/>
      <family val="0"/>
    </font>
    <font>
      <b val="true"/>
      <sz val="15"/>
      <color rgb="FF000000"/>
      <name val="Arial"/>
      <family val="2"/>
      <charset val="1"/>
    </font>
    <font>
      <sz val="10"/>
      <color rgb="FFDDDDDD"/>
      <name val="Arial"/>
      <family val="2"/>
      <charset val="1"/>
    </font>
    <font>
      <sz val="48"/>
      <name val="Arial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CCCCCC"/>
        <bgColor rgb="FFDDDDDD"/>
      </patternFill>
    </fill>
    <fill>
      <patternFill patternType="solid">
        <fgColor rgb="FFEEEEEE"/>
        <bgColor rgb="FFFFFFFF"/>
      </patternFill>
    </fill>
    <fill>
      <patternFill patternType="solid">
        <fgColor rgb="FFFFFF00"/>
        <bgColor rgb="FFFFFF66"/>
      </patternFill>
    </fill>
    <fill>
      <patternFill patternType="solid">
        <fgColor rgb="FFFFCC00"/>
        <bgColor rgb="FFFFD320"/>
      </patternFill>
    </fill>
    <fill>
      <patternFill patternType="solid">
        <fgColor rgb="FFFFD320"/>
        <bgColor rgb="FFFFCC00"/>
      </patternFill>
    </fill>
    <fill>
      <patternFill patternType="solid">
        <fgColor rgb="FFFFFF66"/>
        <bgColor rgb="FFFFFF00"/>
      </patternFill>
    </fill>
    <fill>
      <patternFill patternType="solid">
        <fgColor rgb="FFFFFFFF"/>
        <bgColor rgb="FFEEEEEE"/>
      </patternFill>
    </fill>
    <fill>
      <patternFill patternType="solid">
        <fgColor rgb="FFFF9900"/>
        <bgColor rgb="FFFFCC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 style="hair">
        <color rgb="FFFF3333"/>
      </top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 style="hair"/>
      <top style="hair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/>
      <top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hair"/>
      <bottom style="hair"/>
      <diagonal/>
    </border>
    <border diagonalUp="false" diagonalDown="false">
      <left style="hair"/>
      <right style="thin"/>
      <top style="hair"/>
      <bottom style="hair"/>
      <diagonal/>
    </border>
    <border diagonalUp="false" diagonalDown="false">
      <left/>
      <right/>
      <top style="hair"/>
      <bottom/>
      <diagonal/>
    </border>
    <border diagonalUp="false" diagonalDown="false">
      <left/>
      <right/>
      <top/>
      <bottom style="hair"/>
      <diagonal/>
    </border>
    <border diagonalUp="false" diagonalDown="false">
      <left/>
      <right/>
      <top/>
      <bottom style="hair">
        <color rgb="FFFFFFFF"/>
      </bottom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hair"/>
      <right/>
      <top style="hair"/>
      <bottom style="thin"/>
      <diagonal/>
    </border>
    <border diagonalUp="false" diagonalDown="false">
      <left/>
      <right/>
      <top style="hair"/>
      <bottom style="thin"/>
      <diagonal/>
    </border>
    <border diagonalUp="false" diagonalDown="false">
      <left/>
      <right style="hair"/>
      <top style="hair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7" fillId="3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3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2" fillId="3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3" borderId="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3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7" fontId="12" fillId="3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7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3" borderId="8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0" fillId="3" borderId="17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0" fillId="3" borderId="9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7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3" borderId="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3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9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9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4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7" fillId="3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2" xfId="20" builtinId="53" customBuiltin="true"/>
    <cellStyle name="Sans nom1" xfId="21" builtinId="53" customBuiltin="true"/>
  </cellStyles>
  <dxfs count="3">
    <dxf>
      <font>
        <name val="Arial"/>
        <charset val="1"/>
        <family val="2"/>
        <color rgb="FFFFFFFF"/>
      </font>
    </dxf>
    <dxf>
      <font>
        <name val="Arial"/>
        <charset val="1"/>
        <family val="2"/>
      </font>
    </dxf>
    <dxf>
      <font>
        <name val="Arial"/>
        <charset val="1"/>
        <family val="2"/>
        <b val="1"/>
      </font>
    </dxf>
  </dxfs>
  <colors>
    <indexedColors>
      <rgbColor rgb="FF000000"/>
      <rgbColor rgb="FFFFFFFF"/>
      <rgbColor rgb="FFFF3333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EEEEEE"/>
      <rgbColor rgb="FFCCFFFF"/>
      <rgbColor rgb="FF660066"/>
      <rgbColor rgb="FFFF8080"/>
      <rgbColor rgb="FF0066CC"/>
      <rgbColor rgb="FFDDDDDD"/>
      <rgbColor rgb="FF000080"/>
      <rgbColor rgb="FFFF00FF"/>
      <rgbColor rgb="FFFFD32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B2B2B2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jpeg"/><Relationship Id="rId3" Type="http://schemas.openxmlformats.org/officeDocument/2006/relationships/image" Target="../media/image7.jpeg"/><Relationship Id="rId4" Type="http://schemas.openxmlformats.org/officeDocument/2006/relationships/image" Target="../media/image8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.jpeg"/><Relationship Id="rId2" Type="http://schemas.openxmlformats.org/officeDocument/2006/relationships/image" Target="../media/image10.jpeg"/><Relationship Id="rId3" Type="http://schemas.openxmlformats.org/officeDocument/2006/relationships/image" Target="../media/image11.jpeg"/><Relationship Id="rId4" Type="http://schemas.openxmlformats.org/officeDocument/2006/relationships/image" Target="../media/image12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3.jpeg"/><Relationship Id="rId2" Type="http://schemas.openxmlformats.org/officeDocument/2006/relationships/image" Target="../media/image14.jpeg"/><Relationship Id="rId3" Type="http://schemas.openxmlformats.org/officeDocument/2006/relationships/image" Target="../media/image15.jpeg"/><Relationship Id="rId4" Type="http://schemas.openxmlformats.org/officeDocument/2006/relationships/image" Target="../media/image1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13</xdr:col>
      <xdr:colOff>31680</xdr:colOff>
      <xdr:row>2</xdr:row>
      <xdr:rowOff>25200</xdr:rowOff>
    </xdr:from>
    <xdr:to>
      <xdr:col>15</xdr:col>
      <xdr:colOff>800640</xdr:colOff>
      <xdr:row>14</xdr:row>
      <xdr:rowOff>49680</xdr:rowOff>
    </xdr:to>
    <xdr:pic>
      <xdr:nvPicPr>
        <xdr:cNvPr id="0" name="Images 1" descr=""/>
        <xdr:cNvPicPr/>
      </xdr:nvPicPr>
      <xdr:blipFill>
        <a:blip r:embed="rId1"/>
        <a:stretch/>
      </xdr:blipFill>
      <xdr:spPr>
        <a:xfrm>
          <a:off x="10593360" y="2358000"/>
          <a:ext cx="2463840" cy="2664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9</xdr:col>
      <xdr:colOff>16560</xdr:colOff>
      <xdr:row>18</xdr:row>
      <xdr:rowOff>720</xdr:rowOff>
    </xdr:from>
    <xdr:to>
      <xdr:col>13</xdr:col>
      <xdr:colOff>83160</xdr:colOff>
      <xdr:row>28</xdr:row>
      <xdr:rowOff>216720</xdr:rowOff>
    </xdr:to>
    <xdr:pic>
      <xdr:nvPicPr>
        <xdr:cNvPr id="1" name="Images 4" descr=""/>
        <xdr:cNvPicPr/>
      </xdr:nvPicPr>
      <xdr:blipFill>
        <a:blip r:embed="rId2"/>
        <a:stretch/>
      </xdr:blipFill>
      <xdr:spPr>
        <a:xfrm>
          <a:off x="7527960" y="6139080"/>
          <a:ext cx="3116880" cy="2559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0</xdr:row>
      <xdr:rowOff>21600</xdr:rowOff>
    </xdr:from>
    <xdr:to>
      <xdr:col>17</xdr:col>
      <xdr:colOff>383040</xdr:colOff>
      <xdr:row>1</xdr:row>
      <xdr:rowOff>1127880</xdr:rowOff>
    </xdr:to>
    <xdr:pic>
      <xdr:nvPicPr>
        <xdr:cNvPr id="2" name="Image 1" descr=""/>
        <xdr:cNvPicPr/>
      </xdr:nvPicPr>
      <xdr:blipFill>
        <a:blip r:embed="rId3"/>
        <a:stretch/>
      </xdr:blipFill>
      <xdr:spPr>
        <a:xfrm>
          <a:off x="0" y="21600"/>
          <a:ext cx="13823280" cy="218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103320</xdr:colOff>
      <xdr:row>12</xdr:row>
      <xdr:rowOff>153000</xdr:rowOff>
    </xdr:from>
    <xdr:to>
      <xdr:col>7</xdr:col>
      <xdr:colOff>163440</xdr:colOff>
      <xdr:row>15</xdr:row>
      <xdr:rowOff>337680</xdr:rowOff>
    </xdr:to>
    <xdr:sp>
      <xdr:nvSpPr>
        <xdr:cNvPr id="3" name="CustomShape 1"/>
        <xdr:cNvSpPr/>
      </xdr:nvSpPr>
      <xdr:spPr>
        <a:xfrm>
          <a:off x="3255840" y="4755240"/>
          <a:ext cx="2785680" cy="790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Les 60g d’émail liquide de la base sont répartis dans les 4 godets A B C et D à 15g par godet. On fait les ajouts dans A , C et  D comme mentionné dans le tableau ci dessus.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205920</xdr:colOff>
      <xdr:row>16</xdr:row>
      <xdr:rowOff>13320</xdr:rowOff>
    </xdr:from>
    <xdr:to>
      <xdr:col>6</xdr:col>
      <xdr:colOff>808560</xdr:colOff>
      <xdr:row>29</xdr:row>
      <xdr:rowOff>100440</xdr:rowOff>
    </xdr:to>
    <xdr:pic>
      <xdr:nvPicPr>
        <xdr:cNvPr id="4" name="Images 2" descr=""/>
        <xdr:cNvPicPr/>
      </xdr:nvPicPr>
      <xdr:blipFill>
        <a:blip r:embed="rId4"/>
        <a:stretch/>
      </xdr:blipFill>
      <xdr:spPr>
        <a:xfrm>
          <a:off x="205920" y="5682960"/>
          <a:ext cx="5572080" cy="3133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210240</xdr:colOff>
      <xdr:row>17</xdr:row>
      <xdr:rowOff>106920</xdr:rowOff>
    </xdr:from>
    <xdr:to>
      <xdr:col>16</xdr:col>
      <xdr:colOff>158400</xdr:colOff>
      <xdr:row>27</xdr:row>
      <xdr:rowOff>222840</xdr:rowOff>
    </xdr:to>
    <xdr:sp>
      <xdr:nvSpPr>
        <xdr:cNvPr id="5" name="CustomShape 1"/>
        <xdr:cNvSpPr/>
      </xdr:nvSpPr>
      <xdr:spPr>
        <a:xfrm>
          <a:off x="10771920" y="6010920"/>
          <a:ext cx="2459520" cy="2459160"/>
        </a:xfrm>
        <a:prstGeom prst="rect">
          <a:avLst/>
        </a:prstGeom>
        <a:solidFill>
          <a:srgbClr val="cccccc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le 4x4 grand modèle, la dose fait 0,5 ml ce qui fait 1,5 ml par case. Avec la dilution mentionnée, on a 0,83g de matières sèches par case d’où un émail à 9g audm². </a:t>
          </a: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faire un nuancier on mettra dans les compte-gouttes 0,17g d’oxyde ou de colorant par  millilitre d’eau pour avoir 1 % par goutte ajoutée.</a:t>
          </a:r>
          <a:endParaRPr b="0" lang="fr-FR" sz="1200" spc="-1" strike="noStrike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17</xdr:col>
      <xdr:colOff>174240</xdr:colOff>
      <xdr:row>1</xdr:row>
      <xdr:rowOff>1044720</xdr:rowOff>
    </xdr:to>
    <xdr:pic>
      <xdr:nvPicPr>
        <xdr:cNvPr id="6" name="Image 4" descr=""/>
        <xdr:cNvPicPr/>
      </xdr:nvPicPr>
      <xdr:blipFill>
        <a:blip r:embed="rId1"/>
        <a:stretch/>
      </xdr:blipFill>
      <xdr:spPr>
        <a:xfrm>
          <a:off x="0" y="0"/>
          <a:ext cx="13810680" cy="2122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39600</xdr:colOff>
      <xdr:row>2</xdr:row>
      <xdr:rowOff>106200</xdr:rowOff>
    </xdr:from>
    <xdr:to>
      <xdr:col>15</xdr:col>
      <xdr:colOff>788400</xdr:colOff>
      <xdr:row>14</xdr:row>
      <xdr:rowOff>102240</xdr:rowOff>
    </xdr:to>
    <xdr:pic>
      <xdr:nvPicPr>
        <xdr:cNvPr id="7" name="Image 5" descr=""/>
        <xdr:cNvPicPr/>
      </xdr:nvPicPr>
      <xdr:blipFill>
        <a:blip r:embed="rId2"/>
        <a:srcRect l="3923" t="4535" r="7007" b="0"/>
        <a:stretch/>
      </xdr:blipFill>
      <xdr:spPr>
        <a:xfrm>
          <a:off x="10601280" y="2439000"/>
          <a:ext cx="2443680" cy="26359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5760</xdr:colOff>
      <xdr:row>17</xdr:row>
      <xdr:rowOff>231840</xdr:rowOff>
    </xdr:from>
    <xdr:to>
      <xdr:col>12</xdr:col>
      <xdr:colOff>863640</xdr:colOff>
      <xdr:row>28</xdr:row>
      <xdr:rowOff>192960</xdr:rowOff>
    </xdr:to>
    <xdr:pic>
      <xdr:nvPicPr>
        <xdr:cNvPr id="8" name="Image 6" descr=""/>
        <xdr:cNvPicPr/>
      </xdr:nvPicPr>
      <xdr:blipFill>
        <a:blip r:embed="rId3"/>
        <a:srcRect l="0" t="4355" r="1201" b="0"/>
        <a:stretch/>
      </xdr:blipFill>
      <xdr:spPr>
        <a:xfrm>
          <a:off x="7517160" y="6135840"/>
          <a:ext cx="3035160" cy="2538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167760</xdr:colOff>
      <xdr:row>16</xdr:row>
      <xdr:rowOff>100080</xdr:rowOff>
    </xdr:from>
    <xdr:to>
      <xdr:col>16</xdr:col>
      <xdr:colOff>236520</xdr:colOff>
      <xdr:row>27</xdr:row>
      <xdr:rowOff>158040</xdr:rowOff>
    </xdr:to>
    <xdr:sp>
      <xdr:nvSpPr>
        <xdr:cNvPr id="9" name="CustomShape 1"/>
        <xdr:cNvSpPr/>
      </xdr:nvSpPr>
      <xdr:spPr>
        <a:xfrm>
          <a:off x="10729440" y="5769720"/>
          <a:ext cx="2580120" cy="2635560"/>
        </a:xfrm>
        <a:prstGeom prst="rect">
          <a:avLst/>
        </a:prstGeom>
        <a:solidFill>
          <a:srgbClr val="cccccc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Ernest 5x5, la dose est de 0,2ml soit 0,8 ml par case. Avec la dilution mentionnée, on a 0,4g par case soit un émail à 9 g au dm².</a:t>
          </a: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Il est conseillé pour ce modèle d’Ernest de colorer avec des colorants alimentaires les godets A C et D pour éviter les erreurs dans la répartition dans les cases</a:t>
          </a: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le nuancier, on préparera les compte-gouttes à 0,08g d’oxyde pour 1 ml d’eau ainsi une goutte ajoutée dans une case corresponde à 1 % 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absolute">
    <xdr:from>
      <xdr:col>3</xdr:col>
      <xdr:colOff>877680</xdr:colOff>
      <xdr:row>12</xdr:row>
      <xdr:rowOff>132120</xdr:rowOff>
    </xdr:from>
    <xdr:to>
      <xdr:col>7</xdr:col>
      <xdr:colOff>19080</xdr:colOff>
      <xdr:row>15</xdr:row>
      <xdr:rowOff>316800</xdr:rowOff>
    </xdr:to>
    <xdr:sp>
      <xdr:nvSpPr>
        <xdr:cNvPr id="10" name="CustomShape 1"/>
        <xdr:cNvSpPr/>
      </xdr:nvSpPr>
      <xdr:spPr>
        <a:xfrm>
          <a:off x="3111480" y="4734360"/>
          <a:ext cx="2785680" cy="790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Les 64g d’émail liquide de la base sont répartis dans les 4 godets A B C et D à 16g par godets. On fait les ajouts dans A C et  D comme mentionnés dans le tableau ci dessus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absolute">
    <xdr:from>
      <xdr:col>0</xdr:col>
      <xdr:colOff>99000</xdr:colOff>
      <xdr:row>16</xdr:row>
      <xdr:rowOff>20880</xdr:rowOff>
    </xdr:from>
    <xdr:to>
      <xdr:col>6</xdr:col>
      <xdr:colOff>819360</xdr:colOff>
      <xdr:row>28</xdr:row>
      <xdr:rowOff>197640</xdr:rowOff>
    </xdr:to>
    <xdr:pic>
      <xdr:nvPicPr>
        <xdr:cNvPr id="11" name="Image 3" descr=""/>
        <xdr:cNvPicPr/>
      </xdr:nvPicPr>
      <xdr:blipFill>
        <a:blip r:embed="rId4"/>
        <a:stretch/>
      </xdr:blipFill>
      <xdr:spPr>
        <a:xfrm>
          <a:off x="99000" y="5690520"/>
          <a:ext cx="5689800" cy="2988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9</xdr:col>
      <xdr:colOff>15480</xdr:colOff>
      <xdr:row>18</xdr:row>
      <xdr:rowOff>26280</xdr:rowOff>
    </xdr:from>
    <xdr:to>
      <xdr:col>13</xdr:col>
      <xdr:colOff>43920</xdr:colOff>
      <xdr:row>28</xdr:row>
      <xdr:rowOff>212760</xdr:rowOff>
    </xdr:to>
    <xdr:pic>
      <xdr:nvPicPr>
        <xdr:cNvPr id="12" name="Images 4" descr=""/>
        <xdr:cNvPicPr/>
      </xdr:nvPicPr>
      <xdr:blipFill>
        <a:blip r:embed="rId1"/>
        <a:stretch/>
      </xdr:blipFill>
      <xdr:spPr>
        <a:xfrm>
          <a:off x="7526880" y="6530400"/>
          <a:ext cx="3078720" cy="2529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55080</xdr:colOff>
      <xdr:row>15</xdr:row>
      <xdr:rowOff>455760</xdr:rowOff>
    </xdr:from>
    <xdr:to>
      <xdr:col>6</xdr:col>
      <xdr:colOff>811800</xdr:colOff>
      <xdr:row>29</xdr:row>
      <xdr:rowOff>81360</xdr:rowOff>
    </xdr:to>
    <xdr:pic>
      <xdr:nvPicPr>
        <xdr:cNvPr id="13" name="Images 5" descr=""/>
        <xdr:cNvPicPr/>
      </xdr:nvPicPr>
      <xdr:blipFill>
        <a:blip r:embed="rId2"/>
        <a:stretch/>
      </xdr:blipFill>
      <xdr:spPr>
        <a:xfrm>
          <a:off x="342000" y="6029640"/>
          <a:ext cx="5439240" cy="313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183240</xdr:colOff>
      <xdr:row>16</xdr:row>
      <xdr:rowOff>154080</xdr:rowOff>
    </xdr:from>
    <xdr:to>
      <xdr:col>16</xdr:col>
      <xdr:colOff>252000</xdr:colOff>
      <xdr:row>26</xdr:row>
      <xdr:rowOff>221040</xdr:rowOff>
    </xdr:to>
    <xdr:sp>
      <xdr:nvSpPr>
        <xdr:cNvPr id="14" name="CustomShape 1"/>
        <xdr:cNvSpPr/>
      </xdr:nvSpPr>
      <xdr:spPr>
        <a:xfrm>
          <a:off x="10744920" y="6189480"/>
          <a:ext cx="2580120" cy="2410200"/>
        </a:xfrm>
        <a:prstGeom prst="rect">
          <a:avLst/>
        </a:prstGeom>
        <a:solidFill>
          <a:srgbClr val="cccccc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Ernest 4x4 petit modèle, la dose est de 0,3ml soit 0,9 ml par case. Avec la dilution mentionnée, on a 0,45g par case soit un émail à 10 g au dm².</a:t>
          </a: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le nuancier, on préparera les compte-gouttes à 0,09 g d’oxyde pour 1 ml d’eau ainsi une goutte ajoutée dans une case correspond à 1 % 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absolute">
    <xdr:from>
      <xdr:col>3</xdr:col>
      <xdr:colOff>842040</xdr:colOff>
      <xdr:row>12</xdr:row>
      <xdr:rowOff>82440</xdr:rowOff>
    </xdr:from>
    <xdr:to>
      <xdr:col>7</xdr:col>
      <xdr:colOff>88200</xdr:colOff>
      <xdr:row>15</xdr:row>
      <xdr:rowOff>150840</xdr:rowOff>
    </xdr:to>
    <xdr:sp>
      <xdr:nvSpPr>
        <xdr:cNvPr id="15" name="CustomShape 1"/>
        <xdr:cNvSpPr/>
      </xdr:nvSpPr>
      <xdr:spPr>
        <a:xfrm>
          <a:off x="3075840" y="5050440"/>
          <a:ext cx="2890440" cy="6742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Les 52g d’émail liquide de la base sont répartis dans les 4 godets A B C et D à 13g par godet. On fait les ajouts dans A, C et  D comme mentionnés dans le tableau ci dessus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17</xdr:col>
      <xdr:colOff>362520</xdr:colOff>
      <xdr:row>1</xdr:row>
      <xdr:rowOff>1405440</xdr:rowOff>
    </xdr:to>
    <xdr:pic>
      <xdr:nvPicPr>
        <xdr:cNvPr id="16" name="Image 10" descr=""/>
        <xdr:cNvPicPr/>
      </xdr:nvPicPr>
      <xdr:blipFill>
        <a:blip r:embed="rId3"/>
        <a:stretch/>
      </xdr:blipFill>
      <xdr:spPr>
        <a:xfrm>
          <a:off x="0" y="0"/>
          <a:ext cx="13802760" cy="24829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27720</xdr:colOff>
      <xdr:row>2</xdr:row>
      <xdr:rowOff>235800</xdr:rowOff>
    </xdr:from>
    <xdr:to>
      <xdr:col>15</xdr:col>
      <xdr:colOff>815400</xdr:colOff>
      <xdr:row>14</xdr:row>
      <xdr:rowOff>54720</xdr:rowOff>
    </xdr:to>
    <xdr:pic>
      <xdr:nvPicPr>
        <xdr:cNvPr id="17" name="Image 11" descr=""/>
        <xdr:cNvPicPr/>
      </xdr:nvPicPr>
      <xdr:blipFill>
        <a:blip r:embed="rId4"/>
        <a:stretch/>
      </xdr:blipFill>
      <xdr:spPr>
        <a:xfrm>
          <a:off x="10589400" y="2934360"/>
          <a:ext cx="2482560" cy="2458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13</xdr:col>
      <xdr:colOff>257760</xdr:colOff>
      <xdr:row>17</xdr:row>
      <xdr:rowOff>82800</xdr:rowOff>
    </xdr:from>
    <xdr:to>
      <xdr:col>16</xdr:col>
      <xdr:colOff>326160</xdr:colOff>
      <xdr:row>28</xdr:row>
      <xdr:rowOff>234720</xdr:rowOff>
    </xdr:to>
    <xdr:sp>
      <xdr:nvSpPr>
        <xdr:cNvPr id="18" name="CustomShape 1"/>
        <xdr:cNvSpPr/>
      </xdr:nvSpPr>
      <xdr:spPr>
        <a:xfrm>
          <a:off x="10865880" y="5542200"/>
          <a:ext cx="2579760" cy="2729520"/>
        </a:xfrm>
        <a:prstGeom prst="rect">
          <a:avLst/>
        </a:prstGeom>
        <a:solidFill>
          <a:srgbClr val="cccccc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Ernest 3x3, la dose est de 1,5ml soit 3ml par case. Avec la dilution mentionnée, on a 1,31g par case soit comme les cases font 15,5 cm² un émail à 8,5 g au dm².</a:t>
          </a: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Pour le nuancier, on préparera les compte-gouttes à 0,26g d’oxyde pour 1 ml d’eau ainsi une goutte ajoutée dans une case corresponde à 1 % 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103320</xdr:colOff>
      <xdr:row>12</xdr:row>
      <xdr:rowOff>153000</xdr:rowOff>
    </xdr:from>
    <xdr:to>
      <xdr:col>7</xdr:col>
      <xdr:colOff>163440</xdr:colOff>
      <xdr:row>15</xdr:row>
      <xdr:rowOff>337320</xdr:rowOff>
    </xdr:to>
    <xdr:sp>
      <xdr:nvSpPr>
        <xdr:cNvPr id="19" name="CustomShape 1"/>
        <xdr:cNvSpPr/>
      </xdr:nvSpPr>
      <xdr:spPr>
        <a:xfrm>
          <a:off x="3255840" y="4310640"/>
          <a:ext cx="2785680" cy="7902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0" lang="fr-FR" sz="1200" spc="-1" strike="noStrike">
              <a:latin typeface="Times New Roman"/>
            </a:rPr>
            <a:t>Les 72g d’émail liquide de la base sont répartis dans les 4 godets A, B, C et D à 18g par godet. On fait les ajouts dans A, C et  D comme mentionnés dans le tableau ci dessus</a:t>
          </a:r>
          <a:endParaRPr b="0" lang="fr-FR" sz="1200" spc="-1" strike="noStrike">
            <a:latin typeface="Times New Roman"/>
          </a:endParaRPr>
        </a:p>
      </xdr:txBody>
    </xdr:sp>
    <xdr:clientData/>
  </xdr:twoCellAnchor>
  <xdr:twoCellAnchor editAs="absolute">
    <xdr:from>
      <xdr:col>9</xdr:col>
      <xdr:colOff>54360</xdr:colOff>
      <xdr:row>18</xdr:row>
      <xdr:rowOff>13320</xdr:rowOff>
    </xdr:from>
    <xdr:to>
      <xdr:col>12</xdr:col>
      <xdr:colOff>826200</xdr:colOff>
      <xdr:row>28</xdr:row>
      <xdr:rowOff>195840</xdr:rowOff>
    </xdr:to>
    <xdr:pic>
      <xdr:nvPicPr>
        <xdr:cNvPr id="20" name="Image 2" descr=""/>
        <xdr:cNvPicPr/>
      </xdr:nvPicPr>
      <xdr:blipFill>
        <a:blip r:embed="rId1"/>
        <a:stretch/>
      </xdr:blipFill>
      <xdr:spPr>
        <a:xfrm>
          <a:off x="7565760" y="5707080"/>
          <a:ext cx="2995560" cy="2525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0</xdr:row>
      <xdr:rowOff>19080</xdr:rowOff>
    </xdr:from>
    <xdr:to>
      <xdr:col>17</xdr:col>
      <xdr:colOff>260640</xdr:colOff>
      <xdr:row>1</xdr:row>
      <xdr:rowOff>707400</xdr:rowOff>
    </xdr:to>
    <xdr:pic>
      <xdr:nvPicPr>
        <xdr:cNvPr id="21" name="Image 7" descr=""/>
        <xdr:cNvPicPr/>
      </xdr:nvPicPr>
      <xdr:blipFill>
        <a:blip r:embed="rId2"/>
        <a:srcRect l="0" t="0" r="1384" b="0"/>
        <a:stretch/>
      </xdr:blipFill>
      <xdr:spPr>
        <a:xfrm>
          <a:off x="0" y="19080"/>
          <a:ext cx="14010840" cy="1765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153000</xdr:colOff>
      <xdr:row>15</xdr:row>
      <xdr:rowOff>459360</xdr:rowOff>
    </xdr:from>
    <xdr:to>
      <xdr:col>6</xdr:col>
      <xdr:colOff>867960</xdr:colOff>
      <xdr:row>29</xdr:row>
      <xdr:rowOff>32040</xdr:rowOff>
    </xdr:to>
    <xdr:pic>
      <xdr:nvPicPr>
        <xdr:cNvPr id="22" name="Image 8" descr=""/>
        <xdr:cNvPicPr/>
      </xdr:nvPicPr>
      <xdr:blipFill>
        <a:blip r:embed="rId3"/>
        <a:stretch/>
      </xdr:blipFill>
      <xdr:spPr>
        <a:xfrm>
          <a:off x="153000" y="5222880"/>
          <a:ext cx="5684400" cy="3080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</xdr:col>
      <xdr:colOff>8280</xdr:colOff>
      <xdr:row>2</xdr:row>
      <xdr:rowOff>129600</xdr:rowOff>
    </xdr:from>
    <xdr:to>
      <xdr:col>15</xdr:col>
      <xdr:colOff>732960</xdr:colOff>
      <xdr:row>13</xdr:row>
      <xdr:rowOff>175320</xdr:rowOff>
    </xdr:to>
    <xdr:pic>
      <xdr:nvPicPr>
        <xdr:cNvPr id="23" name="Image 9" descr=""/>
        <xdr:cNvPicPr/>
      </xdr:nvPicPr>
      <xdr:blipFill>
        <a:blip r:embed="rId4"/>
        <a:stretch/>
      </xdr:blipFill>
      <xdr:spPr>
        <a:xfrm>
          <a:off x="10616400" y="2122560"/>
          <a:ext cx="2419560" cy="2401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X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1" min="1" style="0" width="4.07"/>
    <col collapsed="false" customWidth="true" hidden="false" outlineLevel="0" max="2" min="2" style="0" width="14.16"/>
    <col collapsed="false" customWidth="true" hidden="false" outlineLevel="0" max="3" min="3" style="0" width="13.43"/>
    <col collapsed="false" customWidth="true" hidden="false" outlineLevel="0" max="4" min="4" style="0" width="13.02"/>
    <col collapsed="false" customWidth="true" hidden="false" outlineLevel="0" max="5" min="5" style="0" width="13.43"/>
    <col collapsed="false" customWidth="true" hidden="false" outlineLevel="0" max="6" min="6" style="0" width="12.31"/>
    <col collapsed="false" customWidth="true" hidden="false" outlineLevel="0" max="7" min="7" style="0" width="12.88"/>
    <col collapsed="false" customWidth="true" hidden="false" outlineLevel="0" max="10" min="10" style="0" width="10.77"/>
    <col collapsed="false" customWidth="true" hidden="false" outlineLevel="0" max="11" min="11" style="0" width="9.91"/>
    <col collapsed="false" customWidth="true" hidden="false" outlineLevel="0" max="12" min="12" style="0" width="10.19"/>
    <col collapsed="false" customWidth="true" hidden="false" outlineLevel="0" max="13" min="13" style="0" width="12.37"/>
    <col collapsed="false" customWidth="true" hidden="false" outlineLevel="0" max="14" min="14" style="0" width="12.44"/>
    <col collapsed="false" customWidth="true" hidden="false" outlineLevel="0" max="17" min="17" style="0" width="5.2"/>
    <col collapsed="false" customWidth="true" hidden="false" outlineLevel="0" max="18" min="18" style="0" width="9.03"/>
  </cols>
  <sheetData>
    <row r="1" customFormat="false" ht="84.85" hidden="false" customHeight="true" outlineLevel="0" collapsed="false">
      <c r="B1" s="1"/>
      <c r="C1" s="1"/>
      <c r="D1" s="1"/>
      <c r="E1" s="1"/>
      <c r="F1" s="1"/>
      <c r="G1" s="1"/>
      <c r="H1" s="1"/>
      <c r="I1" s="1"/>
      <c r="J1" s="1"/>
      <c r="K1" s="2"/>
      <c r="Q1" s="3"/>
      <c r="R1" s="3"/>
    </row>
    <row r="2" customFormat="false" ht="98.85" hidden="false" customHeight="true" outlineLevel="0" collapsed="false">
      <c r="A2" s="3"/>
      <c r="B2" s="4"/>
      <c r="C2" s="4"/>
      <c r="D2" s="4"/>
      <c r="E2" s="4"/>
      <c r="F2" s="4"/>
      <c r="G2" s="4"/>
      <c r="H2" s="4"/>
      <c r="I2" s="4"/>
      <c r="J2" s="4"/>
      <c r="K2" s="5"/>
      <c r="L2" s="3"/>
      <c r="M2" s="3"/>
      <c r="N2" s="3"/>
      <c r="O2" s="3"/>
      <c r="P2" s="3"/>
      <c r="Q2" s="3"/>
      <c r="R2" s="3"/>
      <c r="T2" s="6"/>
    </row>
    <row r="3" customFormat="false" ht="24.6" hidden="false" customHeight="true" outlineLevel="0" collapsed="false">
      <c r="A3" s="3"/>
      <c r="B3" s="7" t="s">
        <v>0</v>
      </c>
      <c r="C3" s="8" t="s">
        <v>1</v>
      </c>
      <c r="D3" s="9"/>
      <c r="E3" s="10" t="s">
        <v>2</v>
      </c>
      <c r="F3" s="11" t="s">
        <v>3</v>
      </c>
      <c r="G3" s="12" t="s">
        <v>4</v>
      </c>
      <c r="H3" s="10"/>
      <c r="I3" s="13"/>
      <c r="J3" s="14" t="s">
        <v>5</v>
      </c>
      <c r="K3" s="15" t="n">
        <v>25</v>
      </c>
      <c r="L3" s="16" t="s">
        <v>6</v>
      </c>
      <c r="M3" s="17" t="s">
        <v>7</v>
      </c>
      <c r="N3" s="3"/>
      <c r="O3" s="3"/>
      <c r="P3" s="3"/>
      <c r="Q3" s="18" t="s">
        <v>8</v>
      </c>
      <c r="R3" s="3"/>
    </row>
    <row r="4" customFormat="false" ht="30.55" hidden="false" customHeight="true" outlineLevel="0" collapsed="false">
      <c r="A4" s="3"/>
      <c r="B4" s="19" t="s">
        <v>3</v>
      </c>
      <c r="C4" s="20" t="n">
        <v>20</v>
      </c>
      <c r="D4" s="3"/>
      <c r="E4" s="3"/>
      <c r="F4" s="21" t="n">
        <v>50</v>
      </c>
      <c r="G4" s="22" t="n">
        <v>15</v>
      </c>
      <c r="H4" s="23" t="s">
        <v>9</v>
      </c>
      <c r="I4" s="23"/>
      <c r="J4" s="24" t="str">
        <f aca="false">+B4</f>
        <v>Cendre</v>
      </c>
      <c r="K4" s="25" t="n">
        <f aca="false">+C4/C15*25</f>
        <v>5.10204081632653</v>
      </c>
      <c r="L4" s="3"/>
      <c r="M4" s="26" t="str">
        <f aca="false">+F3</f>
        <v>Cendre</v>
      </c>
      <c r="N4" s="3"/>
      <c r="O4" s="3"/>
      <c r="P4" s="3"/>
      <c r="Q4" s="16" t="str">
        <f aca="false">+F3</f>
        <v>Cendre</v>
      </c>
      <c r="R4" s="27"/>
    </row>
    <row r="5" customFormat="false" ht="18.55" hidden="false" customHeight="false" outlineLevel="0" collapsed="false">
      <c r="A5" s="3"/>
      <c r="B5" s="19" t="s">
        <v>4</v>
      </c>
      <c r="C5" s="20" t="n">
        <v>10</v>
      </c>
      <c r="D5" s="3"/>
      <c r="E5" s="28" t="s">
        <v>10</v>
      </c>
      <c r="F5" s="3"/>
      <c r="G5" s="29"/>
      <c r="H5" s="3"/>
      <c r="I5" s="3"/>
      <c r="J5" s="24" t="str">
        <f aca="false">+B5</f>
        <v>Talc</v>
      </c>
      <c r="K5" s="25" t="n">
        <f aca="false">+C5/C15*25</f>
        <v>2.55102040816327</v>
      </c>
      <c r="L5" s="3"/>
      <c r="M5" s="30" t="str">
        <f aca="false">+CONCATENATE("+",F4,"%")</f>
        <v>+50%</v>
      </c>
      <c r="N5" s="3"/>
      <c r="O5" s="3"/>
      <c r="P5" s="3"/>
      <c r="Q5" s="31" t="str">
        <f aca="false">+G3</f>
        <v>Talc</v>
      </c>
      <c r="R5" s="27"/>
    </row>
    <row r="6" customFormat="false" ht="15" hidden="false" customHeight="false" outlineLevel="0" collapsed="false">
      <c r="A6" s="3"/>
      <c r="B6" s="19" t="s">
        <v>11</v>
      </c>
      <c r="C6" s="20" t="n">
        <v>50</v>
      </c>
      <c r="D6" s="3"/>
      <c r="E6" s="32" t="s">
        <v>12</v>
      </c>
      <c r="F6" s="33" t="n">
        <f aca="false">+F4*0.0625</f>
        <v>3.125</v>
      </c>
      <c r="G6" s="34" t="str">
        <f aca="false">+F3</f>
        <v>Cendre</v>
      </c>
      <c r="H6" s="3" t="s">
        <v>13</v>
      </c>
      <c r="I6" s="3"/>
      <c r="J6" s="24" t="str">
        <f aca="false">+B6</f>
        <v>Orthose</v>
      </c>
      <c r="K6" s="25" t="n">
        <f aca="false">+C6/C15*25</f>
        <v>12.7551020408163</v>
      </c>
      <c r="L6" s="3"/>
      <c r="M6" s="35"/>
      <c r="N6" s="3"/>
      <c r="O6" s="3"/>
      <c r="P6" s="3"/>
      <c r="Q6" s="3"/>
      <c r="R6" s="3"/>
    </row>
    <row r="7" customFormat="false" ht="15" hidden="false" customHeight="false" outlineLevel="0" collapsed="false">
      <c r="A7" s="3"/>
      <c r="B7" s="19" t="s">
        <v>14</v>
      </c>
      <c r="C7" s="20" t="n">
        <v>10</v>
      </c>
      <c r="D7" s="3"/>
      <c r="E7" s="3"/>
      <c r="F7" s="36" t="n">
        <f aca="false">+F6*1.4</f>
        <v>4.375</v>
      </c>
      <c r="G7" s="37" t="s">
        <v>15</v>
      </c>
      <c r="H7" s="3" t="s">
        <v>16</v>
      </c>
      <c r="I7" s="3"/>
      <c r="J7" s="24" t="str">
        <f aca="false">+B7</f>
        <v>silice</v>
      </c>
      <c r="K7" s="25" t="n">
        <f aca="false">+C7/C15*25</f>
        <v>2.55102040816327</v>
      </c>
      <c r="L7" s="3"/>
      <c r="M7" s="3"/>
      <c r="N7" s="3"/>
      <c r="O7" s="3"/>
      <c r="P7" s="3"/>
      <c r="Q7" s="3"/>
      <c r="R7" s="3"/>
    </row>
    <row r="8" customFormat="false" ht="15" hidden="false" customHeight="false" outlineLevel="0" collapsed="false">
      <c r="A8" s="3"/>
      <c r="B8" s="19" t="s">
        <v>17</v>
      </c>
      <c r="C8" s="20" t="n">
        <v>8</v>
      </c>
      <c r="D8" s="3"/>
      <c r="E8" s="32" t="s">
        <v>18</v>
      </c>
      <c r="F8" s="33" t="n">
        <f aca="false">+G4*0.0625</f>
        <v>0.9375</v>
      </c>
      <c r="G8" s="34" t="str">
        <f aca="false">+G3</f>
        <v>Talc</v>
      </c>
      <c r="H8" s="3" t="s">
        <v>6</v>
      </c>
      <c r="I8" s="3"/>
      <c r="J8" s="24" t="str">
        <f aca="false">+B8</f>
        <v>Os</v>
      </c>
      <c r="K8" s="25" t="n">
        <f aca="false">+C8/C15*25</f>
        <v>2.04081632653061</v>
      </c>
      <c r="L8" s="3"/>
      <c r="M8" s="3"/>
      <c r="N8" s="3"/>
      <c r="O8" s="3"/>
      <c r="P8" s="3"/>
      <c r="Q8" s="3"/>
      <c r="R8" s="3"/>
    </row>
    <row r="9" customFormat="false" ht="15" hidden="false" customHeight="false" outlineLevel="0" collapsed="false">
      <c r="A9" s="3"/>
      <c r="B9" s="19"/>
      <c r="C9" s="20" t="n">
        <v>0</v>
      </c>
      <c r="D9" s="3"/>
      <c r="E9" s="3"/>
      <c r="F9" s="36" t="n">
        <f aca="false">+F8*1.4</f>
        <v>1.3125</v>
      </c>
      <c r="G9" s="37" t="s">
        <v>15</v>
      </c>
      <c r="H9" s="3" t="s">
        <v>19</v>
      </c>
      <c r="I9" s="3"/>
      <c r="J9" s="24" t="n">
        <f aca="false">+B9</f>
        <v>0</v>
      </c>
      <c r="K9" s="25" t="n">
        <f aca="false">+C9/C15*25</f>
        <v>0</v>
      </c>
      <c r="L9" s="3"/>
      <c r="M9" s="3"/>
      <c r="N9" s="3"/>
      <c r="O9" s="3"/>
      <c r="P9" s="3"/>
      <c r="Q9" s="3"/>
      <c r="R9" s="3"/>
    </row>
    <row r="10" customFormat="false" ht="15" hidden="false" customHeight="false" outlineLevel="0" collapsed="false">
      <c r="A10" s="3"/>
      <c r="B10" s="19"/>
      <c r="C10" s="20" t="n">
        <v>0</v>
      </c>
      <c r="D10" s="3"/>
      <c r="E10" s="38" t="s">
        <v>20</v>
      </c>
      <c r="F10" s="39" t="n">
        <f aca="false">+F6</f>
        <v>3.125</v>
      </c>
      <c r="G10" s="40" t="str">
        <f aca="false">+G6</f>
        <v>Cendre</v>
      </c>
      <c r="H10" s="3" t="s">
        <v>6</v>
      </c>
      <c r="I10" s="3"/>
      <c r="J10" s="24" t="n">
        <f aca="false">+B10</f>
        <v>0</v>
      </c>
      <c r="K10" s="25" t="n">
        <f aca="false">+C10/C15*25</f>
        <v>0</v>
      </c>
      <c r="L10" s="3"/>
      <c r="M10" s="3"/>
      <c r="N10" s="3"/>
      <c r="O10" s="3"/>
      <c r="P10" s="3"/>
      <c r="Q10" s="3"/>
      <c r="R10" s="41"/>
    </row>
    <row r="11" customFormat="false" ht="15" hidden="false" customHeight="false" outlineLevel="0" collapsed="false">
      <c r="A11" s="3"/>
      <c r="B11" s="19"/>
      <c r="C11" s="20" t="n">
        <v>0</v>
      </c>
      <c r="D11" s="3"/>
      <c r="E11" s="3"/>
      <c r="F11" s="42" t="n">
        <f aca="false">+F8</f>
        <v>0.9375</v>
      </c>
      <c r="G11" s="37" t="str">
        <f aca="false">+G8</f>
        <v>Talc</v>
      </c>
      <c r="H11" s="3" t="s">
        <v>6</v>
      </c>
      <c r="I11" s="3"/>
      <c r="J11" s="24" t="n">
        <f aca="false">+B11</f>
        <v>0</v>
      </c>
      <c r="K11" s="25" t="n">
        <f aca="false">+C11/C15*25</f>
        <v>0</v>
      </c>
      <c r="L11" s="3"/>
      <c r="M11" s="3"/>
      <c r="N11" s="3"/>
      <c r="O11" s="3"/>
      <c r="P11" s="3"/>
      <c r="Q11" s="3"/>
      <c r="R11" s="3"/>
    </row>
    <row r="12" customFormat="false" ht="15" hidden="false" customHeight="false" outlineLevel="0" collapsed="false">
      <c r="A12" s="3"/>
      <c r="B12" s="19"/>
      <c r="C12" s="20" t="n">
        <v>0</v>
      </c>
      <c r="D12" s="3"/>
      <c r="E12" s="3"/>
      <c r="F12" s="36" t="n">
        <f aca="false">+(F11+F10)*1.4</f>
        <v>5.6875</v>
      </c>
      <c r="G12" s="37" t="s">
        <v>15</v>
      </c>
      <c r="H12" s="3" t="s">
        <v>19</v>
      </c>
      <c r="I12" s="3"/>
      <c r="J12" s="24" t="n">
        <f aca="false">+B12</f>
        <v>0</v>
      </c>
      <c r="K12" s="25" t="n">
        <f aca="false">+C12/C15*25</f>
        <v>0</v>
      </c>
      <c r="L12" s="3"/>
      <c r="M12" s="3"/>
      <c r="N12" s="3"/>
      <c r="O12" s="3"/>
      <c r="P12" s="3"/>
      <c r="Q12" s="3"/>
      <c r="R12" s="3"/>
    </row>
    <row r="13" customFormat="false" ht="15" hidden="false" customHeight="false" outlineLevel="0" collapsed="false">
      <c r="A13" s="3"/>
      <c r="B13" s="19"/>
      <c r="C13" s="20" t="n">
        <v>0</v>
      </c>
      <c r="D13" s="3"/>
      <c r="E13" s="3"/>
      <c r="F13" s="3"/>
      <c r="G13" s="29"/>
      <c r="H13" s="3"/>
      <c r="I13" s="3"/>
      <c r="J13" s="24" t="n">
        <f aca="false">+B13</f>
        <v>0</v>
      </c>
      <c r="K13" s="25" t="n">
        <f aca="false">+C13/C15*25</f>
        <v>0</v>
      </c>
      <c r="L13" s="3"/>
      <c r="M13" s="3"/>
      <c r="N13" s="3"/>
      <c r="O13" s="3"/>
      <c r="P13" s="3"/>
      <c r="Q13" s="3"/>
      <c r="R13" s="3"/>
    </row>
    <row r="14" customFormat="false" ht="14.15" hidden="false" customHeight="false" outlineLevel="0" collapsed="false">
      <c r="A14" s="3"/>
      <c r="B14" s="43"/>
      <c r="C14" s="44" t="n">
        <v>0</v>
      </c>
      <c r="D14" s="3"/>
      <c r="E14" s="3"/>
      <c r="F14" s="3"/>
      <c r="G14" s="29"/>
      <c r="H14" s="3"/>
      <c r="I14" s="3"/>
      <c r="J14" s="24" t="n">
        <f aca="false">+B14</f>
        <v>0</v>
      </c>
      <c r="K14" s="25" t="n">
        <f aca="false">+C14/C15*25</f>
        <v>0</v>
      </c>
      <c r="L14" s="3"/>
      <c r="M14" s="45" t="str">
        <f aca="false">+B3</f>
        <v>Blanc</v>
      </c>
      <c r="N14" s="3"/>
      <c r="O14" s="3"/>
      <c r="P14" s="3"/>
      <c r="Q14" s="16" t="str">
        <f aca="false">+G3</f>
        <v>Talc</v>
      </c>
      <c r="R14" s="3"/>
    </row>
    <row r="15" s="52" customFormat="true" ht="18.55" hidden="false" customHeight="false" outlineLevel="0" collapsed="false">
      <c r="A15" s="46"/>
      <c r="B15" s="47" t="s">
        <v>21</v>
      </c>
      <c r="C15" s="47" t="n">
        <f aca="false">SUM(C4:C14)</f>
        <v>98</v>
      </c>
      <c r="D15" s="46"/>
      <c r="E15" s="46"/>
      <c r="F15" s="46"/>
      <c r="G15" s="46"/>
      <c r="H15" s="46"/>
      <c r="I15" s="46"/>
      <c r="J15" s="48" t="s">
        <v>22</v>
      </c>
      <c r="K15" s="49" t="n">
        <v>35</v>
      </c>
      <c r="L15" s="46" t="s">
        <v>23</v>
      </c>
      <c r="M15" s="50" t="s">
        <v>24</v>
      </c>
      <c r="N15" s="46"/>
      <c r="O15" s="17"/>
      <c r="P15" s="23" t="s">
        <v>25</v>
      </c>
      <c r="Q15" s="51" t="str">
        <f aca="false">+CONCATENATE("+",G4,"%")</f>
        <v>+15%</v>
      </c>
      <c r="R15" s="46"/>
    </row>
    <row r="16" customFormat="false" ht="36.35" hidden="false" customHeight="true" outlineLevel="0" collapsed="false">
      <c r="A16" s="53"/>
      <c r="B16" s="53"/>
      <c r="C16" s="53"/>
      <c r="D16" s="53"/>
      <c r="E16" s="53"/>
      <c r="F16" s="53"/>
      <c r="G16" s="53"/>
      <c r="H16" s="3"/>
      <c r="I16" s="3"/>
      <c r="J16" s="3"/>
      <c r="K16" s="3"/>
      <c r="L16" s="3"/>
      <c r="M16" s="3"/>
      <c r="N16" s="54"/>
      <c r="O16" s="3"/>
      <c r="P16" s="3"/>
      <c r="Q16" s="3"/>
      <c r="R16" s="3"/>
      <c r="S16" s="55"/>
      <c r="T16" s="56"/>
      <c r="U16" s="56"/>
      <c r="V16" s="56"/>
      <c r="W16" s="56"/>
      <c r="X16" s="56"/>
    </row>
    <row r="17" s="64" customFormat="true" ht="18.45" hidden="false" customHeight="true" outlineLevel="0" collapsed="false">
      <c r="A17" s="54"/>
      <c r="B17" s="54"/>
      <c r="C17" s="57" t="s">
        <v>24</v>
      </c>
      <c r="D17" s="57" t="s">
        <v>7</v>
      </c>
      <c r="E17" s="57" t="s">
        <v>25</v>
      </c>
      <c r="F17" s="57" t="s">
        <v>8</v>
      </c>
      <c r="G17" s="57"/>
      <c r="H17" s="58" t="s">
        <v>26</v>
      </c>
      <c r="I17" s="59" t="str">
        <f aca="false">+W17</f>
        <v>2A1D</v>
      </c>
      <c r="J17" s="60" t="s">
        <v>7</v>
      </c>
      <c r="K17" s="61" t="s">
        <v>24</v>
      </c>
      <c r="L17" s="61" t="s">
        <v>25</v>
      </c>
      <c r="M17" s="62" t="s">
        <v>8</v>
      </c>
      <c r="N17" s="57"/>
      <c r="O17" s="29"/>
      <c r="P17" s="29"/>
      <c r="Q17" s="29"/>
      <c r="R17" s="29"/>
      <c r="S17" s="63" t="str">
        <f aca="false">CONCATENATE(IF(J18=1,"1A",""),IF(J18=2,"2A",""),IF(J18=3,"3A",""),IF(J18=4,"4A",""))</f>
        <v>2A</v>
      </c>
      <c r="T17" s="63" t="str">
        <f aca="false">CONCATENATE(IF(K18=1,"1B",""),IF(K18=2,"2B",""),IF(K18=3,"3B",""),IF(K18=4,"4B",""))</f>
        <v/>
      </c>
      <c r="U17" s="63" t="str">
        <f aca="false">CONCATENATE(IF(L18=1,"1C",""),IF(L18=2,"2C",""),IF(L18=3,"3C",""),IF(L18=4,"4C",""))</f>
        <v/>
      </c>
      <c r="V17" s="63" t="str">
        <f aca="false">CONCATENATE(IF(M18=1,"1D",""),IF(M18=2,"2D",""),IF(M18=3,"3D",""),IF(M18=4,"4D",""))</f>
        <v>1D</v>
      </c>
      <c r="W17" s="63" t="str">
        <f aca="false">CONCATENATE(S17,T17,U17,V17)</f>
        <v>2A1D</v>
      </c>
      <c r="X17" s="63"/>
    </row>
    <row r="18" customFormat="false" ht="18.45" hidden="false" customHeight="true" outlineLevel="0" collapsed="false">
      <c r="A18" s="54"/>
      <c r="B18" s="65" t="str">
        <f aca="false">+B4</f>
        <v>Cendre</v>
      </c>
      <c r="C18" s="66" t="n">
        <f aca="false">+C4/C15*100</f>
        <v>20.4081632653061</v>
      </c>
      <c r="D18" s="66" t="n">
        <f aca="false">+C18/(100+F4)*100</f>
        <v>13.6054421768707</v>
      </c>
      <c r="E18" s="66" t="n">
        <f aca="false">+C18/(100+G4)*100</f>
        <v>17.7462289263532</v>
      </c>
      <c r="F18" s="66" t="n">
        <f aca="false">+C18/(F4+G4+100)*100</f>
        <v>12.3685837971552</v>
      </c>
      <c r="G18" s="66" t="n">
        <f aca="false">IFERROR(INDEX($N$28:$N$29,MATCH(B18,$B$28:$B$29,0),1),0)</f>
        <v>32.3232323232323</v>
      </c>
      <c r="H18" s="67" t="str">
        <f aca="false">+B18</f>
        <v>Cendre</v>
      </c>
      <c r="I18" s="68" t="n">
        <f aca="false">+N18+G18*(H32+I32)</f>
        <v>45.5163883735312</v>
      </c>
      <c r="J18" s="69" t="n">
        <v>2</v>
      </c>
      <c r="K18" s="70" t="n">
        <v>0</v>
      </c>
      <c r="L18" s="70" t="n">
        <v>0</v>
      </c>
      <c r="M18" s="71" t="n">
        <v>1</v>
      </c>
      <c r="N18" s="72" t="n">
        <f aca="false">+(J18*D18+C18*K18+L18*E18+M18*F18)/(J18+K18+L18+M18)</f>
        <v>13.1931560502989</v>
      </c>
      <c r="O18" s="73"/>
      <c r="P18" s="73"/>
      <c r="Q18" s="73"/>
      <c r="R18" s="73"/>
      <c r="S18" s="56" t="n">
        <f aca="false">+(J18*D18+K18*C18+L18*E18+M18*F18)/(J18+K18+L18+M18)+IFERROR(VLOOKUP(H18,$H$28:$I$29,2,0),0)</f>
        <v>13.1931560502989</v>
      </c>
      <c r="T18" s="56"/>
      <c r="U18" s="56"/>
      <c r="V18" s="56"/>
      <c r="W18" s="56"/>
      <c r="X18" s="56"/>
    </row>
    <row r="19" customFormat="false" ht="18.45" hidden="false" customHeight="true" outlineLevel="0" collapsed="false">
      <c r="A19" s="54"/>
      <c r="B19" s="65" t="str">
        <f aca="false">+B5</f>
        <v>Talc</v>
      </c>
      <c r="C19" s="66" t="n">
        <f aca="false">+C5/C15*100</f>
        <v>10.2040816326531</v>
      </c>
      <c r="D19" s="66" t="n">
        <f aca="false">+C19/(100+F4)*100</f>
        <v>6.80272108843537</v>
      </c>
      <c r="E19" s="66" t="n">
        <f aca="false">+C19/(100+G4)*100</f>
        <v>8.87311446317658</v>
      </c>
      <c r="F19" s="66" t="n">
        <f aca="false">+C19/(F4+G4+100)*100</f>
        <v>6.18429189857761</v>
      </c>
      <c r="G19" s="66" t="n">
        <f aca="false">IFERROR(INDEX($N$28:$N$29,MATCH(B19,$B$28:$B$29,0),1),0)</f>
        <v>3.03030303030303</v>
      </c>
      <c r="H19" s="67" t="str">
        <f aca="false">+B19</f>
        <v>Talc</v>
      </c>
      <c r="I19" s="68" t="n">
        <f aca="false">+N19+G19*(H33+I33)</f>
        <v>9.62688105545248</v>
      </c>
      <c r="J19" s="74" t="n">
        <f aca="false">+J18</f>
        <v>2</v>
      </c>
      <c r="K19" s="74" t="n">
        <f aca="false">+K18</f>
        <v>0</v>
      </c>
      <c r="L19" s="74" t="n">
        <f aca="false">+L18</f>
        <v>0</v>
      </c>
      <c r="M19" s="74" t="n">
        <f aca="false">+M18</f>
        <v>1</v>
      </c>
      <c r="N19" s="72" t="n">
        <f aca="false">+(J19*D19+C19*K19+L19*E19+M19*F19)/(J19+K19+L19+M19)</f>
        <v>6.59657802514945</v>
      </c>
      <c r="O19" s="73"/>
      <c r="P19" s="73"/>
      <c r="Q19" s="73"/>
      <c r="R19" s="73"/>
      <c r="S19" s="56" t="n">
        <f aca="false">+(J19*D19+K19*C19+L19*E19+M19*F19)/(J19+K19+L19+M19)+IFERROR(VLOOKUP(H19,$H$28:$I$29,2,0),0)</f>
        <v>6.59657802514945</v>
      </c>
      <c r="T19" s="56"/>
      <c r="U19" s="56"/>
      <c r="V19" s="56"/>
      <c r="W19" s="56"/>
      <c r="X19" s="56"/>
    </row>
    <row r="20" customFormat="false" ht="18.45" hidden="false" customHeight="true" outlineLevel="0" collapsed="false">
      <c r="A20" s="54"/>
      <c r="B20" s="65" t="str">
        <f aca="false">+B6</f>
        <v>Orthose</v>
      </c>
      <c r="C20" s="66" t="n">
        <f aca="false">+C6/C15*100</f>
        <v>51.0204081632653</v>
      </c>
      <c r="D20" s="66" t="n">
        <f aca="false">+C20/(100+F4)*100</f>
        <v>34.0136054421769</v>
      </c>
      <c r="E20" s="66" t="n">
        <f aca="false">+C20/(100+G4)*100</f>
        <v>44.3655723158829</v>
      </c>
      <c r="F20" s="66" t="n">
        <f aca="false">+C20/(F4+G4+100)*100</f>
        <v>30.9214594928881</v>
      </c>
      <c r="G20" s="66" t="n">
        <f aca="false">IFERROR(INDEX($N$28:$N$29,MATCH(B20,$B$28:$B$29,0),1),0)</f>
        <v>0</v>
      </c>
      <c r="H20" s="67" t="str">
        <f aca="false">+B20</f>
        <v>Orthose</v>
      </c>
      <c r="I20" s="68" t="n">
        <f aca="false">+N20+G20*(H34+I34)</f>
        <v>32.9828901257473</v>
      </c>
      <c r="J20" s="74" t="n">
        <f aca="false">+J19</f>
        <v>2</v>
      </c>
      <c r="K20" s="74" t="n">
        <f aca="false">+K19</f>
        <v>0</v>
      </c>
      <c r="L20" s="74" t="n">
        <f aca="false">+L19</f>
        <v>0</v>
      </c>
      <c r="M20" s="74" t="n">
        <f aca="false">+M19</f>
        <v>1</v>
      </c>
      <c r="N20" s="72" t="n">
        <f aca="false">+(J20*D20+C20*K20+L20*E20+M20*F20)/(J20+K20+L20+M20)</f>
        <v>32.9828901257473</v>
      </c>
      <c r="O20" s="73"/>
      <c r="P20" s="73"/>
      <c r="Q20" s="73"/>
      <c r="R20" s="73"/>
      <c r="S20" s="56" t="n">
        <f aca="false">+(J20*D20+K20*C20+L20*E20+M20*F20)/(J20+K20+L20+M20)+IFERROR(VLOOKUP(H20,$H$28:$I$29,2,0),0)</f>
        <v>32.9828901257473</v>
      </c>
      <c r="T20" s="56"/>
      <c r="U20" s="56"/>
      <c r="V20" s="56"/>
      <c r="W20" s="56"/>
      <c r="X20" s="56"/>
    </row>
    <row r="21" customFormat="false" ht="18.45" hidden="false" customHeight="true" outlineLevel="0" collapsed="false">
      <c r="A21" s="54"/>
      <c r="B21" s="65" t="str">
        <f aca="false">+B7</f>
        <v>silice</v>
      </c>
      <c r="C21" s="66" t="n">
        <f aca="false">+C7/C15*100</f>
        <v>10.2040816326531</v>
      </c>
      <c r="D21" s="66" t="n">
        <f aca="false">+C21/(100+F4)*100</f>
        <v>6.80272108843537</v>
      </c>
      <c r="E21" s="66" t="n">
        <f aca="false">+C21/(100+G4)*100</f>
        <v>8.87311446317658</v>
      </c>
      <c r="F21" s="66" t="n">
        <f aca="false">+C21/(F4+G4+100)*100</f>
        <v>6.18429189857761</v>
      </c>
      <c r="G21" s="66" t="n">
        <f aca="false">IFERROR(INDEX($N$28:$N$29,MATCH(B21,$B$28:$B$29,0),1),0)</f>
        <v>0</v>
      </c>
      <c r="H21" s="67" t="str">
        <f aca="false">+B21</f>
        <v>silice</v>
      </c>
      <c r="I21" s="68" t="n">
        <f aca="false">+N21+G21*(H35+I35)</f>
        <v>6.59657802514945</v>
      </c>
      <c r="J21" s="74" t="n">
        <f aca="false">+J20</f>
        <v>2</v>
      </c>
      <c r="K21" s="74" t="n">
        <f aca="false">+K20</f>
        <v>0</v>
      </c>
      <c r="L21" s="74" t="n">
        <f aca="false">+L20</f>
        <v>0</v>
      </c>
      <c r="M21" s="74" t="n">
        <f aca="false">+M20</f>
        <v>1</v>
      </c>
      <c r="N21" s="72" t="n">
        <f aca="false">+(J21*D21+C21*K21+L21*E21+M21*F21)/(J21+K21+L21+M21)</f>
        <v>6.59657802514945</v>
      </c>
      <c r="O21" s="73"/>
      <c r="P21" s="73"/>
      <c r="Q21" s="73"/>
      <c r="R21" s="73"/>
      <c r="S21" s="56" t="n">
        <f aca="false">+(J21*D21+K21*C21+L21*E21+M21*F21)/(J21+K21+L21+M21)+IFERROR(VLOOKUP(H21,$H$28:$I$29,2,0),0)</f>
        <v>6.59657802514945</v>
      </c>
      <c r="T21" s="56"/>
      <c r="U21" s="56"/>
      <c r="V21" s="56"/>
      <c r="W21" s="56"/>
      <c r="X21" s="56"/>
    </row>
    <row r="22" customFormat="false" ht="18.45" hidden="false" customHeight="true" outlineLevel="0" collapsed="false">
      <c r="A22" s="54"/>
      <c r="B22" s="65" t="str">
        <f aca="false">+B8</f>
        <v>Os</v>
      </c>
      <c r="C22" s="66" t="n">
        <f aca="false">+C8/C15*100</f>
        <v>8.16326530612245</v>
      </c>
      <c r="D22" s="66" t="n">
        <f aca="false">+C22/(100+F4)*100</f>
        <v>5.4421768707483</v>
      </c>
      <c r="E22" s="66" t="n">
        <f aca="false">+C22/(100+G4)*100</f>
        <v>7.09849157054126</v>
      </c>
      <c r="F22" s="66" t="n">
        <f aca="false">+C22/(F4+G4+100)*100</f>
        <v>4.94743351886209</v>
      </c>
      <c r="G22" s="66" t="n">
        <f aca="false">IFERROR(INDEX($N$28:$N$29,MATCH(B22,$B$28:$B$29,0),1),0)</f>
        <v>0</v>
      </c>
      <c r="H22" s="67" t="str">
        <f aca="false">+B22</f>
        <v>Os</v>
      </c>
      <c r="I22" s="68" t="n">
        <f aca="false">+N22+G22*(H36+I36)</f>
        <v>5.27726242011956</v>
      </c>
      <c r="J22" s="74" t="n">
        <f aca="false">+J21</f>
        <v>2</v>
      </c>
      <c r="K22" s="74" t="n">
        <f aca="false">+K21</f>
        <v>0</v>
      </c>
      <c r="L22" s="74" t="n">
        <f aca="false">+L21</f>
        <v>0</v>
      </c>
      <c r="M22" s="74" t="n">
        <f aca="false">+M21</f>
        <v>1</v>
      </c>
      <c r="N22" s="72" t="n">
        <f aca="false">+(J22*D22+C22*K22+L22*E22+M22*F22)/(J22+K22+L22+M22)</f>
        <v>5.27726242011956</v>
      </c>
      <c r="O22" s="73"/>
      <c r="P22" s="73"/>
      <c r="Q22" s="73"/>
      <c r="R22" s="73"/>
      <c r="S22" s="56" t="n">
        <f aca="false">+(J22*D22+K22*C22+L22*E22+M22*F22)/(J22+K22+L22+M22)+IFERROR(VLOOKUP(H22,$H$28:$I$29,2,0),0)</f>
        <v>5.27726242011956</v>
      </c>
      <c r="T22" s="56"/>
      <c r="U22" s="56"/>
      <c r="V22" s="56"/>
      <c r="W22" s="56"/>
      <c r="X22" s="56"/>
    </row>
    <row r="23" customFormat="false" ht="18.45" hidden="false" customHeight="true" outlineLevel="0" collapsed="false">
      <c r="A23" s="54"/>
      <c r="B23" s="65" t="n">
        <f aca="false">+B9</f>
        <v>0</v>
      </c>
      <c r="C23" s="66" t="n">
        <f aca="false">+C9/C15*100</f>
        <v>0</v>
      </c>
      <c r="D23" s="66" t="n">
        <f aca="false">+C23/(100+D28)*100</f>
        <v>0</v>
      </c>
      <c r="E23" s="66" t="n">
        <f aca="false">+C23/(100+G4)*100</f>
        <v>0</v>
      </c>
      <c r="F23" s="66" t="n">
        <f aca="false">+C23/(F4+G4+100)*100</f>
        <v>0</v>
      </c>
      <c r="G23" s="66" t="n">
        <f aca="false">IFERROR(INDEX($N$28:$N$29,MATCH(B23,$B$28:$B$29,0),1),0)</f>
        <v>0</v>
      </c>
      <c r="H23" s="75" t="n">
        <f aca="false">+B23</f>
        <v>0</v>
      </c>
      <c r="I23" s="68" t="n">
        <f aca="false">+N23+G23*(H37+I37)</f>
        <v>0</v>
      </c>
      <c r="J23" s="74" t="n">
        <f aca="false">+J22</f>
        <v>2</v>
      </c>
      <c r="K23" s="74" t="n">
        <f aca="false">+K22</f>
        <v>0</v>
      </c>
      <c r="L23" s="74" t="n">
        <f aca="false">+L22</f>
        <v>0</v>
      </c>
      <c r="M23" s="74" t="n">
        <f aca="false">+M22</f>
        <v>1</v>
      </c>
      <c r="N23" s="72" t="n">
        <f aca="false">+(J23*D23+C23*K23+L23*E23+M23*F23)/(J23+K23+L23+M23)</f>
        <v>0</v>
      </c>
      <c r="O23" s="73"/>
      <c r="P23" s="73"/>
      <c r="Q23" s="73"/>
      <c r="R23" s="73"/>
      <c r="S23" s="56" t="n">
        <f aca="false">+(J23*D23+K23*C23+L23*E23+M23*F23)/(J23+K23+L23+M23)+IFERROR(VLOOKUP(H23,$H$28:$I$29,2,0),0)</f>
        <v>0</v>
      </c>
      <c r="T23" s="56"/>
      <c r="U23" s="56"/>
      <c r="V23" s="56"/>
      <c r="W23" s="56"/>
      <c r="X23" s="56"/>
    </row>
    <row r="24" customFormat="false" ht="18.45" hidden="false" customHeight="true" outlineLevel="0" collapsed="false">
      <c r="A24" s="54"/>
      <c r="B24" s="65" t="n">
        <f aca="false">+B10</f>
        <v>0</v>
      </c>
      <c r="C24" s="66" t="n">
        <f aca="false">+C10/C15*100</f>
        <v>0</v>
      </c>
      <c r="D24" s="66" t="n">
        <f aca="false">+C24/(100+D28)*100</f>
        <v>0</v>
      </c>
      <c r="E24" s="66" t="n">
        <f aca="false">+C24/(100+G4)*100</f>
        <v>0</v>
      </c>
      <c r="F24" s="66" t="n">
        <f aca="false">+C24/(F4+G4+100)*100</f>
        <v>0</v>
      </c>
      <c r="G24" s="66" t="n">
        <f aca="false">IFERROR(INDEX($N$28:$N$29,MATCH(B24,$B$28:$B$29,0),1),0)</f>
        <v>0</v>
      </c>
      <c r="H24" s="75" t="n">
        <f aca="false">+B24</f>
        <v>0</v>
      </c>
      <c r="I24" s="68" t="n">
        <f aca="false">+N24+G24*(H38+I38)</f>
        <v>0</v>
      </c>
      <c r="J24" s="74" t="n">
        <f aca="false">+J23</f>
        <v>2</v>
      </c>
      <c r="K24" s="74" t="n">
        <f aca="false">+K23</f>
        <v>0</v>
      </c>
      <c r="L24" s="74" t="n">
        <f aca="false">+L23</f>
        <v>0</v>
      </c>
      <c r="M24" s="74" t="n">
        <f aca="false">+M23</f>
        <v>1</v>
      </c>
      <c r="N24" s="72" t="n">
        <f aca="false">+(J24*D24+C24*K24+L24*E24+M24*F24)/(J24+K24+L24+M24)</f>
        <v>0</v>
      </c>
      <c r="O24" s="73"/>
      <c r="P24" s="73"/>
      <c r="Q24" s="73"/>
      <c r="R24" s="73"/>
      <c r="S24" s="56" t="n">
        <f aca="false">+(J24*D24+K24*C24+L24*E24+M24*F24)/(J24+K24+L24+M24)+IFERROR(VLOOKUP(H24,$H$28:$I$29,2,0),0)</f>
        <v>0</v>
      </c>
      <c r="T24" s="56"/>
      <c r="U24" s="56"/>
      <c r="V24" s="56"/>
      <c r="W24" s="56"/>
      <c r="X24" s="56"/>
    </row>
    <row r="25" customFormat="false" ht="18.45" hidden="false" customHeight="true" outlineLevel="0" collapsed="false">
      <c r="A25" s="54"/>
      <c r="B25" s="65" t="n">
        <f aca="false">+B11</f>
        <v>0</v>
      </c>
      <c r="C25" s="66" t="n">
        <f aca="false">+C11/C15*100</f>
        <v>0</v>
      </c>
      <c r="D25" s="66" t="n">
        <f aca="false">+C25/(100+D28)*100</f>
        <v>0</v>
      </c>
      <c r="E25" s="66" t="n">
        <f aca="false">+C25/(100+G4)*100</f>
        <v>0</v>
      </c>
      <c r="F25" s="66" t="n">
        <f aca="false">+C25/(F4+G4+100)*100</f>
        <v>0</v>
      </c>
      <c r="G25" s="66" t="n">
        <f aca="false">IFERROR(INDEX($N$28:$N$29,MATCH(B25,$B$28:$B$29,0),1),0)</f>
        <v>0</v>
      </c>
      <c r="H25" s="75" t="n">
        <f aca="false">+B25</f>
        <v>0</v>
      </c>
      <c r="I25" s="68" t="n">
        <f aca="false">+N25+G25*(H39+I39)</f>
        <v>0</v>
      </c>
      <c r="J25" s="74" t="n">
        <f aca="false">+J24</f>
        <v>2</v>
      </c>
      <c r="K25" s="74" t="n">
        <f aca="false">+K24</f>
        <v>0</v>
      </c>
      <c r="L25" s="74" t="n">
        <f aca="false">+L24</f>
        <v>0</v>
      </c>
      <c r="M25" s="74" t="n">
        <f aca="false">+M24</f>
        <v>1</v>
      </c>
      <c r="N25" s="72" t="n">
        <f aca="false">+(J25*D25+C25*K25+L25*E25+M25*F25)/(J25+K25+L25+M25)</f>
        <v>0</v>
      </c>
      <c r="O25" s="73"/>
      <c r="P25" s="73"/>
      <c r="Q25" s="73"/>
      <c r="R25" s="73"/>
      <c r="S25" s="56" t="n">
        <f aca="false">+(J25*D25+K25*C25+L25*E25+M25*F25)/(J25+K25+L25+M25)+IFERROR(VLOOKUP(H25,$H$28:$I$29,2,0),0)</f>
        <v>0</v>
      </c>
      <c r="T25" s="56"/>
      <c r="U25" s="56"/>
      <c r="V25" s="56"/>
      <c r="W25" s="56"/>
      <c r="X25" s="56"/>
    </row>
    <row r="26" customFormat="false" ht="18.45" hidden="false" customHeight="true" outlineLevel="0" collapsed="false">
      <c r="A26" s="54"/>
      <c r="B26" s="65" t="n">
        <f aca="false">+B12</f>
        <v>0</v>
      </c>
      <c r="C26" s="66" t="n">
        <f aca="false">+C12/C15*100</f>
        <v>0</v>
      </c>
      <c r="D26" s="66" t="n">
        <f aca="false">+C26/(100+D28)*100</f>
        <v>0</v>
      </c>
      <c r="E26" s="66" t="n">
        <f aca="false">+D26/(100+G4)*100</f>
        <v>0</v>
      </c>
      <c r="F26" s="66" t="n">
        <f aca="false">+C26/(F4+G4+100)*100</f>
        <v>0</v>
      </c>
      <c r="G26" s="66" t="n">
        <f aca="false">IFERROR(INDEX($N$28:$N$29,MATCH(B26,$B$28:$B$29,0),1),0)</f>
        <v>0</v>
      </c>
      <c r="H26" s="75" t="n">
        <f aca="false">+B26</f>
        <v>0</v>
      </c>
      <c r="I26" s="68" t="n">
        <f aca="false">+N26+G26*(H40+I40)</f>
        <v>0</v>
      </c>
      <c r="J26" s="74" t="n">
        <f aca="false">+J25</f>
        <v>2</v>
      </c>
      <c r="K26" s="74" t="n">
        <f aca="false">+K25</f>
        <v>0</v>
      </c>
      <c r="L26" s="74" t="n">
        <f aca="false">+L25</f>
        <v>0</v>
      </c>
      <c r="M26" s="74" t="n">
        <f aca="false">+M25</f>
        <v>1</v>
      </c>
      <c r="N26" s="72" t="n">
        <f aca="false">+(J26*D26+C26*K26+L26*E26+M26*F26)/(J26+K26+L26+M26)</f>
        <v>0</v>
      </c>
      <c r="O26" s="73"/>
      <c r="P26" s="73"/>
      <c r="Q26" s="73"/>
      <c r="R26" s="73"/>
      <c r="S26" s="56" t="n">
        <f aca="false">+(J26*D26+K26*C26+L26*E26+M26*F26)/(J26+K26+L26+M26)+IFERROR(VLOOKUP(H26,$H$28:$I$29,2,0),0)</f>
        <v>0</v>
      </c>
      <c r="T26" s="56"/>
      <c r="U26" s="56"/>
      <c r="V26" s="56"/>
      <c r="W26" s="56"/>
      <c r="X26" s="56"/>
    </row>
    <row r="27" customFormat="false" ht="18.45" hidden="false" customHeight="true" outlineLevel="0" collapsed="false">
      <c r="A27" s="54"/>
      <c r="B27" s="65" t="n">
        <f aca="false">+B13</f>
        <v>0</v>
      </c>
      <c r="C27" s="66" t="n">
        <f aca="false">+C14/C15*100</f>
        <v>0</v>
      </c>
      <c r="D27" s="66" t="n">
        <f aca="false">+C27/(100+D28)*100</f>
        <v>0</v>
      </c>
      <c r="E27" s="66" t="n">
        <f aca="false">+C27/(100+G13)*100</f>
        <v>0</v>
      </c>
      <c r="F27" s="66" t="n">
        <f aca="false">+C27/(F4+G4+100)*100</f>
        <v>0</v>
      </c>
      <c r="G27" s="66" t="n">
        <f aca="false">IFERROR(INDEX($N$28:$N$29,MATCH(B27,$B$28:$B$29,0),1),0)</f>
        <v>0</v>
      </c>
      <c r="H27" s="75" t="n">
        <f aca="false">+B27</f>
        <v>0</v>
      </c>
      <c r="I27" s="68" t="n">
        <f aca="false">+N27+G27*(H41+I41)</f>
        <v>0</v>
      </c>
      <c r="J27" s="74" t="n">
        <f aca="false">+J26</f>
        <v>2</v>
      </c>
      <c r="K27" s="74" t="n">
        <f aca="false">+K26</f>
        <v>0</v>
      </c>
      <c r="L27" s="74" t="n">
        <f aca="false">+L26</f>
        <v>0</v>
      </c>
      <c r="M27" s="74" t="n">
        <f aca="false">+M26</f>
        <v>1</v>
      </c>
      <c r="N27" s="72" t="n">
        <f aca="false">+(J27*D27+C27*K27+L27*E27+M27*F27)/(J27+K27+L27+M27)</f>
        <v>0</v>
      </c>
      <c r="O27" s="73"/>
      <c r="P27" s="73"/>
      <c r="Q27" s="73"/>
      <c r="R27" s="73"/>
      <c r="S27" s="56" t="n">
        <f aca="false">+(J27*D27+K27*C27+L27*E27+M27*F27)/(J27+K27+L27+M27)+IFERROR(VLOOKUP(H27,$H$28:$I$29,2,0),0)</f>
        <v>0</v>
      </c>
      <c r="T27" s="56"/>
      <c r="U27" s="56"/>
      <c r="V27" s="56"/>
      <c r="W27" s="56"/>
      <c r="X27" s="56"/>
    </row>
    <row r="28" customFormat="false" ht="18.45" hidden="false" customHeight="true" outlineLevel="0" collapsed="false">
      <c r="A28" s="54"/>
      <c r="B28" s="65" t="str">
        <f aca="false">+F3</f>
        <v>Cendre</v>
      </c>
      <c r="C28" s="66" t="n">
        <v>0</v>
      </c>
      <c r="D28" s="66" t="n">
        <f aca="false">+F4/(F4+100)*100</f>
        <v>33.3333333333333</v>
      </c>
      <c r="E28" s="66" t="n">
        <v>0</v>
      </c>
      <c r="F28" s="66" t="n">
        <f aca="false">+F4/(G4+F4+100)*100</f>
        <v>30.3030303030303</v>
      </c>
      <c r="G28" s="66"/>
      <c r="H28" s="76" t="str">
        <f aca="false">+IF(H43=0,F3,"")</f>
        <v/>
      </c>
      <c r="I28" s="77" t="str">
        <f aca="false">+IF(H43=0,N28,"")</f>
        <v/>
      </c>
      <c r="J28" s="74" t="n">
        <f aca="false">+J27</f>
        <v>2</v>
      </c>
      <c r="K28" s="74" t="n">
        <f aca="false">+K27</f>
        <v>0</v>
      </c>
      <c r="L28" s="74" t="n">
        <f aca="false">+L27</f>
        <v>0</v>
      </c>
      <c r="M28" s="74" t="n">
        <f aca="false">+M27</f>
        <v>1</v>
      </c>
      <c r="N28" s="72" t="n">
        <f aca="false">+(J28*D28+C28*K28+L28*E28+M28*F28)/(J28+K28+L28+M28)</f>
        <v>32.3232323232323</v>
      </c>
      <c r="O28" s="73"/>
      <c r="P28" s="73"/>
      <c r="Q28" s="73"/>
      <c r="R28" s="73"/>
      <c r="S28" s="78"/>
      <c r="T28" s="56"/>
      <c r="U28" s="56"/>
      <c r="V28" s="56"/>
      <c r="W28" s="56"/>
      <c r="X28" s="56"/>
    </row>
    <row r="29" customFormat="false" ht="18.45" hidden="false" customHeight="true" outlineLevel="0" collapsed="false">
      <c r="A29" s="54"/>
      <c r="B29" s="65" t="str">
        <f aca="false">+G3</f>
        <v>Talc</v>
      </c>
      <c r="C29" s="66" t="n">
        <v>0</v>
      </c>
      <c r="D29" s="66" t="n">
        <v>0</v>
      </c>
      <c r="E29" s="66" t="n">
        <f aca="false">+G4/(G4+100)*100</f>
        <v>13.0434782608696</v>
      </c>
      <c r="F29" s="66" t="n">
        <f aca="false">+G4/(G4+F4+100)*100</f>
        <v>9.09090909090909</v>
      </c>
      <c r="G29" s="66"/>
      <c r="H29" s="79" t="str">
        <f aca="false">+IF(I43=0,G3,"")</f>
        <v/>
      </c>
      <c r="I29" s="80" t="str">
        <f aca="false">+IF(I43=0,N29,"")</f>
        <v/>
      </c>
      <c r="J29" s="74" t="n">
        <f aca="false">+J28</f>
        <v>2</v>
      </c>
      <c r="K29" s="74" t="n">
        <f aca="false">+K28</f>
        <v>0</v>
      </c>
      <c r="L29" s="74" t="n">
        <f aca="false">+L28</f>
        <v>0</v>
      </c>
      <c r="M29" s="74" t="n">
        <f aca="false">+M28</f>
        <v>1</v>
      </c>
      <c r="N29" s="72" t="n">
        <f aca="false">+(J29*D29+C29*K29+L29*E29+M29*F29)/(J29+K29+L29+M29)</f>
        <v>3.03030303030303</v>
      </c>
      <c r="O29" s="81" t="s">
        <v>27</v>
      </c>
      <c r="P29" s="81"/>
      <c r="Q29" s="73"/>
      <c r="R29" s="73"/>
      <c r="S29" s="78"/>
      <c r="T29" s="56"/>
      <c r="U29" s="56"/>
      <c r="V29" s="56"/>
      <c r="W29" s="56"/>
      <c r="X29" s="56"/>
    </row>
    <row r="30" customFormat="false" ht="18.45" hidden="false" customHeight="true" outlineLevel="0" collapsed="false">
      <c r="A30" s="54"/>
      <c r="B30" s="66"/>
      <c r="C30" s="66"/>
      <c r="D30" s="66"/>
      <c r="E30" s="66"/>
      <c r="F30" s="66"/>
      <c r="G30" s="66"/>
      <c r="H30" s="82"/>
      <c r="I30" s="82"/>
      <c r="J30" s="83"/>
      <c r="K30" s="83"/>
      <c r="L30" s="83"/>
      <c r="M30" s="83"/>
      <c r="N30" s="66"/>
      <c r="O30" s="73"/>
      <c r="P30" s="73"/>
      <c r="Q30" s="73"/>
      <c r="R30" s="73"/>
      <c r="S30" s="78"/>
      <c r="T30" s="56"/>
      <c r="U30" s="56"/>
      <c r="V30" s="56"/>
      <c r="W30" s="56"/>
      <c r="X30" s="56"/>
    </row>
    <row r="31" customFormat="false" ht="18.45" hidden="false" customHeight="true" outlineLevel="0" collapsed="false">
      <c r="A31" s="3"/>
      <c r="B31" s="73"/>
      <c r="C31" s="73"/>
      <c r="D31" s="73"/>
      <c r="E31" s="73"/>
      <c r="F31" s="73"/>
      <c r="G31" s="73"/>
      <c r="H31" s="82"/>
      <c r="I31" s="82"/>
      <c r="J31" s="73"/>
      <c r="K31" s="73"/>
      <c r="L31" s="73"/>
      <c r="M31" s="73"/>
      <c r="N31" s="73"/>
      <c r="O31" s="73"/>
      <c r="P31" s="73"/>
      <c r="Q31" s="73"/>
      <c r="R31" s="73"/>
      <c r="S31" s="84"/>
      <c r="T31" s="85"/>
      <c r="U31" s="85"/>
      <c r="V31" s="85"/>
      <c r="W31" s="85"/>
    </row>
    <row r="32" customFormat="false" ht="18.45" hidden="false" customHeight="true" outlineLevel="0" collapsed="false">
      <c r="B32" s="86"/>
      <c r="C32" s="86"/>
      <c r="D32" s="86"/>
      <c r="E32" s="86"/>
      <c r="F32" s="86"/>
      <c r="G32" s="87" t="n">
        <f aca="false">+IF(A18=$B$28,1,0)</f>
        <v>0</v>
      </c>
      <c r="H32" s="87" t="n">
        <f aca="false">+IF(B18=$B$28,1,0)</f>
        <v>1</v>
      </c>
      <c r="I32" s="87" t="n">
        <f aca="false">+IF(B18=$B$29,1,0)</f>
        <v>0</v>
      </c>
      <c r="J32" s="78"/>
      <c r="K32" s="86"/>
      <c r="L32" s="86"/>
      <c r="M32" s="86"/>
      <c r="N32" s="86"/>
      <c r="O32" s="86"/>
      <c r="P32" s="86"/>
      <c r="Q32" s="86"/>
      <c r="R32" s="86"/>
    </row>
    <row r="33" customFormat="false" ht="18.45" hidden="false" customHeight="true" outlineLevel="0" collapsed="false">
      <c r="B33" s="86"/>
      <c r="C33" s="86"/>
      <c r="D33" s="86"/>
      <c r="E33" s="86"/>
      <c r="F33" s="86"/>
      <c r="G33" s="87" t="n">
        <f aca="false">+IF(A19=$B$28,1,0)</f>
        <v>0</v>
      </c>
      <c r="H33" s="87" t="n">
        <f aca="false">+IF(B19=$B$28,1,0)</f>
        <v>0</v>
      </c>
      <c r="I33" s="87" t="n">
        <f aca="false">+IF(B19=$B$29,1,0)</f>
        <v>1</v>
      </c>
      <c r="J33" s="78"/>
      <c r="K33" s="86"/>
      <c r="L33" s="86"/>
      <c r="M33" s="86"/>
      <c r="N33" s="86"/>
      <c r="O33" s="86"/>
      <c r="P33" s="86"/>
      <c r="Q33" s="86"/>
      <c r="R33" s="86"/>
    </row>
    <row r="34" customFormat="false" ht="18.45" hidden="false" customHeight="true" outlineLevel="0" collapsed="false">
      <c r="B34" s="86"/>
      <c r="C34" s="86"/>
      <c r="D34" s="86"/>
      <c r="E34" s="86"/>
      <c r="F34" s="86"/>
      <c r="G34" s="87" t="n">
        <f aca="false">+IF(A20=$B$28,1,0)</f>
        <v>0</v>
      </c>
      <c r="H34" s="87" t="n">
        <f aca="false">+IF(B20=$B$28,1,0)</f>
        <v>0</v>
      </c>
      <c r="I34" s="87" t="n">
        <f aca="false">+IF(B20=$B$29,1,0)</f>
        <v>0</v>
      </c>
      <c r="J34" s="78"/>
      <c r="K34" s="86"/>
      <c r="L34" s="86"/>
      <c r="M34" s="86"/>
      <c r="N34" s="86"/>
      <c r="O34" s="86"/>
      <c r="P34" s="86"/>
      <c r="Q34" s="86"/>
      <c r="R34" s="86"/>
    </row>
    <row r="35" customFormat="false" ht="12.8" hidden="false" customHeight="false" outlineLevel="0" collapsed="false">
      <c r="B35" s="86"/>
      <c r="C35" s="86"/>
      <c r="D35" s="86"/>
      <c r="E35" s="86"/>
      <c r="F35" s="86"/>
      <c r="G35" s="87" t="n">
        <f aca="false">+IF(A21=$B$28,1,0)</f>
        <v>0</v>
      </c>
      <c r="H35" s="87" t="n">
        <f aca="false">+IF(B21=$B$28,1,0)</f>
        <v>0</v>
      </c>
      <c r="I35" s="87" t="n">
        <f aca="false">+IF(B21=$B$29,1,0)</f>
        <v>0</v>
      </c>
      <c r="J35" s="78"/>
      <c r="K35" s="86"/>
      <c r="L35" s="86"/>
      <c r="M35" s="86"/>
      <c r="N35" s="86"/>
      <c r="O35" s="86"/>
      <c r="P35" s="86"/>
      <c r="Q35" s="86"/>
      <c r="R35" s="86"/>
    </row>
    <row r="36" customFormat="false" ht="12.8" hidden="false" customHeight="false" outlineLevel="0" collapsed="false">
      <c r="B36" s="86"/>
      <c r="C36" s="86"/>
      <c r="D36" s="86"/>
      <c r="E36" s="86"/>
      <c r="F36" s="86"/>
      <c r="G36" s="87" t="n">
        <f aca="false">+IF(A22=$B$28,1,0)</f>
        <v>0</v>
      </c>
      <c r="H36" s="87" t="n">
        <f aca="false">+IF(B22=$B$28,1,0)</f>
        <v>0</v>
      </c>
      <c r="I36" s="87" t="n">
        <f aca="false">+IF(B22=$B$29,1,0)</f>
        <v>0</v>
      </c>
      <c r="J36" s="78"/>
      <c r="K36" s="86"/>
      <c r="L36" s="86"/>
      <c r="M36" s="86"/>
      <c r="N36" s="86"/>
      <c r="O36" s="86"/>
      <c r="P36" s="86"/>
      <c r="Q36" s="86"/>
      <c r="R36" s="86"/>
    </row>
    <row r="37" customFormat="false" ht="12.8" hidden="false" customHeight="false" outlineLevel="0" collapsed="false">
      <c r="B37" s="86"/>
      <c r="C37" s="86"/>
      <c r="D37" s="86"/>
      <c r="E37" s="86"/>
      <c r="F37" s="86"/>
      <c r="G37" s="87" t="n">
        <f aca="false">+IF(A23=$B$28,1,0)</f>
        <v>0</v>
      </c>
      <c r="H37" s="87" t="n">
        <f aca="false">+IF(B23=$B$28,1,0)</f>
        <v>0</v>
      </c>
      <c r="I37" s="87" t="n">
        <f aca="false">+IF(B23=$B$29,1,0)</f>
        <v>0</v>
      </c>
      <c r="J37" s="78"/>
      <c r="K37" s="86"/>
      <c r="L37" s="86"/>
      <c r="M37" s="86"/>
      <c r="N37" s="86"/>
      <c r="O37" s="86"/>
      <c r="P37" s="86"/>
      <c r="Q37" s="86"/>
      <c r="R37" s="86"/>
    </row>
    <row r="38" customFormat="false" ht="12.8" hidden="false" customHeight="false" outlineLevel="0" collapsed="false">
      <c r="B38" s="86"/>
      <c r="C38" s="86"/>
      <c r="D38" s="86"/>
      <c r="E38" s="86"/>
      <c r="F38" s="86"/>
      <c r="G38" s="87" t="n">
        <f aca="false">+IF(A24=$B$28,1,0)</f>
        <v>0</v>
      </c>
      <c r="H38" s="87" t="n">
        <f aca="false">+IF(B24=$B$28,1,0)</f>
        <v>0</v>
      </c>
      <c r="I38" s="87" t="n">
        <f aca="false">+IF(B24=$B$29,1,0)</f>
        <v>0</v>
      </c>
      <c r="J38" s="78"/>
      <c r="K38" s="86"/>
      <c r="L38" s="86"/>
      <c r="M38" s="86"/>
      <c r="N38" s="86"/>
      <c r="O38" s="86"/>
      <c r="P38" s="86"/>
      <c r="Q38" s="86"/>
      <c r="R38" s="86"/>
    </row>
    <row r="39" customFormat="false" ht="12.8" hidden="false" customHeight="false" outlineLevel="0" collapsed="false">
      <c r="B39" s="86"/>
      <c r="C39" s="86"/>
      <c r="D39" s="86"/>
      <c r="E39" s="86"/>
      <c r="F39" s="86"/>
      <c r="G39" s="87" t="n">
        <f aca="false">+IF(A25=$B$28,1,0)</f>
        <v>0</v>
      </c>
      <c r="H39" s="87" t="n">
        <f aca="false">+IF(B25=$B$28,1,0)</f>
        <v>0</v>
      </c>
      <c r="I39" s="87" t="n">
        <f aca="false">+IF(B25=$B$29,1,0)</f>
        <v>0</v>
      </c>
      <c r="J39" s="78"/>
      <c r="K39" s="86"/>
      <c r="L39" s="86"/>
      <c r="M39" s="86"/>
      <c r="N39" s="86"/>
      <c r="O39" s="86"/>
      <c r="P39" s="86"/>
      <c r="Q39" s="86"/>
      <c r="R39" s="86"/>
    </row>
    <row r="40" customFormat="false" ht="12.8" hidden="false" customHeight="false" outlineLevel="0" collapsed="false">
      <c r="B40" s="86"/>
      <c r="C40" s="86"/>
      <c r="D40" s="86"/>
      <c r="E40" s="86"/>
      <c r="F40" s="86"/>
      <c r="G40" s="87" t="n">
        <f aca="false">+IF(A26=$B$28,1,0)</f>
        <v>0</v>
      </c>
      <c r="H40" s="87" t="n">
        <f aca="false">+IF(B26=$B$28,1,0)</f>
        <v>0</v>
      </c>
      <c r="I40" s="87" t="n">
        <f aca="false">+IF(B26=$B$29,1,0)</f>
        <v>0</v>
      </c>
      <c r="J40" s="78"/>
      <c r="K40" s="86"/>
      <c r="L40" s="86"/>
      <c r="M40" s="86"/>
      <c r="N40" s="86"/>
      <c r="O40" s="86"/>
      <c r="P40" s="86"/>
      <c r="Q40" s="86"/>
      <c r="R40" s="86"/>
    </row>
    <row r="41" customFormat="false" ht="12.8" hidden="false" customHeight="false" outlineLevel="0" collapsed="false">
      <c r="A41" s="64"/>
      <c r="B41" s="86"/>
      <c r="C41" s="86"/>
      <c r="D41" s="86"/>
      <c r="E41" s="86"/>
      <c r="F41" s="86"/>
      <c r="G41" s="87" t="n">
        <f aca="false">+IF(A27=$B$28,1,0)</f>
        <v>0</v>
      </c>
      <c r="H41" s="87" t="n">
        <f aca="false">+IF(B27=$B$28,1,0)</f>
        <v>0</v>
      </c>
      <c r="I41" s="87" t="n">
        <f aca="false">+IF(B27=$B$29,1,0)</f>
        <v>0</v>
      </c>
      <c r="J41" s="78"/>
      <c r="K41" s="86"/>
      <c r="L41" s="86"/>
      <c r="M41" s="86"/>
      <c r="N41" s="86"/>
      <c r="O41" s="86"/>
      <c r="P41" s="86"/>
      <c r="Q41" s="86"/>
      <c r="R41" s="86"/>
    </row>
    <row r="42" customFormat="false" ht="12.8" hidden="false" customHeight="false" outlineLevel="0" collapsed="false">
      <c r="B42" s="86"/>
      <c r="C42" s="86"/>
      <c r="D42" s="86"/>
      <c r="E42" s="86"/>
      <c r="F42" s="86"/>
      <c r="G42" s="78"/>
      <c r="H42" s="78"/>
      <c r="I42" s="78"/>
      <c r="J42" s="78"/>
      <c r="K42" s="86"/>
      <c r="L42" s="86"/>
      <c r="M42" s="86"/>
      <c r="N42" s="86"/>
      <c r="O42" s="86"/>
      <c r="P42" s="86"/>
      <c r="Q42" s="86"/>
      <c r="R42" s="86"/>
    </row>
    <row r="43" customFormat="false" ht="12.8" hidden="false" customHeight="false" outlineLevel="0" collapsed="false">
      <c r="G43" s="56" t="n">
        <f aca="false">SUM(G32:G42)</f>
        <v>0</v>
      </c>
      <c r="H43" s="56" t="n">
        <f aca="false">SUM(H32:H42)</f>
        <v>1</v>
      </c>
      <c r="I43" s="56" t="n">
        <f aca="false">SUM(I32:I42)</f>
        <v>1</v>
      </c>
      <c r="J43" s="56"/>
    </row>
    <row r="44" customFormat="false" ht="12.8" hidden="false" customHeight="false" outlineLevel="0" collapsed="false">
      <c r="G44" s="56"/>
      <c r="H44" s="78"/>
      <c r="I44" s="78"/>
      <c r="J44" s="56"/>
    </row>
    <row r="45" customFormat="false" ht="12.8" hidden="false" customHeight="false" outlineLevel="0" collapsed="false">
      <c r="G45" s="56"/>
      <c r="H45" s="56"/>
      <c r="I45" s="56"/>
      <c r="J45" s="56"/>
    </row>
    <row r="46" customFormat="false" ht="12.8" hidden="false" customHeight="false" outlineLevel="0" collapsed="false">
      <c r="G46" s="56"/>
      <c r="H46" s="56"/>
      <c r="I46" s="56"/>
      <c r="J46" s="56"/>
    </row>
    <row r="47" customFormat="false" ht="12.8" hidden="false" customHeight="false" outlineLevel="0" collapsed="false">
      <c r="G47" s="85"/>
      <c r="H47" s="56"/>
      <c r="I47" s="56"/>
      <c r="J47" s="56"/>
    </row>
    <row r="51" customFormat="false" ht="12.8" hidden="false" customHeight="false" outlineLevel="0" collapsed="false">
      <c r="G51" s="85"/>
      <c r="H51" s="85"/>
      <c r="I51" s="85"/>
      <c r="J51" s="85"/>
    </row>
    <row r="52" customFormat="false" ht="12.8" hidden="false" customHeight="false" outlineLevel="0" collapsed="false">
      <c r="G52" s="85"/>
      <c r="H52" s="85"/>
      <c r="I52" s="85"/>
      <c r="J52" s="85"/>
    </row>
    <row r="53" customFormat="false" ht="12.8" hidden="false" customHeight="false" outlineLevel="0" collapsed="false">
      <c r="G53" s="85"/>
      <c r="H53" s="85"/>
      <c r="I53" s="85"/>
      <c r="J53" s="85"/>
    </row>
    <row r="54" customFormat="false" ht="12.8" hidden="false" customHeight="false" outlineLevel="0" collapsed="false">
      <c r="G54" s="85"/>
      <c r="H54" s="85"/>
      <c r="I54" s="85"/>
      <c r="J54" s="85"/>
    </row>
    <row r="62" customFormat="false" ht="12.8" hidden="false" customHeight="false" outlineLevel="0" collapsed="false">
      <c r="G62" s="88"/>
    </row>
    <row r="71" customFormat="false" ht="12.8" hidden="false" customHeight="false" outlineLevel="0" collapsed="false">
      <c r="B71" s="89"/>
      <c r="C71" s="89"/>
      <c r="D71" s="89"/>
      <c r="E71" s="89"/>
      <c r="F71" s="89"/>
      <c r="G71" s="89"/>
      <c r="H71" s="89"/>
      <c r="I71" s="89"/>
      <c r="J71" s="89"/>
      <c r="K71" s="89"/>
    </row>
  </sheetData>
  <sheetProtection sheet="true" objects="true" scenarios="true" selectLockedCells="true"/>
  <conditionalFormatting sqref="B4:C14 J4:K15 B18:F20 H17:H27 I18:I27 N18:N29">
    <cfRule type="cellIs" priority="2" operator="equal" aboveAverage="0" equalAverage="0" bottom="0" percent="0" rank="0" text="" dxfId="0">
      <formula>0</formula>
    </cfRule>
  </conditionalFormatting>
  <conditionalFormatting sqref="D3 B21:F29 B28:G29">
    <cfRule type="cellIs" priority="3" operator="equal" aboveAverage="0" equalAverage="0" bottom="0" percent="0" rank="0" text="" dxfId="1">
      <formula>0</formula>
    </cfRule>
  </conditionalFormatting>
  <conditionalFormatting sqref="H28:I28">
    <cfRule type="cellIs" priority="4" operator="equal" aboveAverage="0" equalAverage="0" bottom="0" percent="0" rank="0" text="" dxfId="2">
      <formula>0</formula>
    </cfRule>
  </conditionalFormatting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1" scale="86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X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7" activeCellId="0" sqref="B7"/>
    </sheetView>
  </sheetViews>
  <sheetFormatPr defaultRowHeight="12.8" zeroHeight="false" outlineLevelRow="0" outlineLevelCol="0"/>
  <cols>
    <col collapsed="false" customWidth="true" hidden="false" outlineLevel="0" max="1" min="1" style="0" width="4.07"/>
    <col collapsed="false" customWidth="true" hidden="false" outlineLevel="0" max="2" min="2" style="0" width="14.16"/>
    <col collapsed="false" customWidth="true" hidden="false" outlineLevel="0" max="3" min="3" style="0" width="13.43"/>
    <col collapsed="false" customWidth="true" hidden="false" outlineLevel="0" max="4" min="4" style="0" width="13.02"/>
    <col collapsed="false" customWidth="true" hidden="false" outlineLevel="0" max="5" min="5" style="0" width="13.43"/>
    <col collapsed="false" customWidth="true" hidden="false" outlineLevel="0" max="6" min="6" style="0" width="12.31"/>
    <col collapsed="false" customWidth="true" hidden="false" outlineLevel="0" max="7" min="7" style="0" width="12.88"/>
    <col collapsed="false" customWidth="true" hidden="false" outlineLevel="0" max="10" min="10" style="0" width="10.77"/>
    <col collapsed="false" customWidth="true" hidden="false" outlineLevel="0" max="11" min="11" style="0" width="9.91"/>
    <col collapsed="false" customWidth="true" hidden="false" outlineLevel="0" max="12" min="12" style="0" width="10.19"/>
    <col collapsed="false" customWidth="true" hidden="false" outlineLevel="0" max="13" min="13" style="0" width="12.37"/>
    <col collapsed="false" customWidth="true" hidden="false" outlineLevel="0" max="14" min="14" style="0" width="12.44"/>
    <col collapsed="false" customWidth="true" hidden="false" outlineLevel="0" max="17" min="17" style="0" width="7.98"/>
    <col collapsed="false" customWidth="true" hidden="false" outlineLevel="0" max="18" min="18" style="0" width="5.55"/>
  </cols>
  <sheetData>
    <row r="1" customFormat="false" ht="84.85" hidden="false" customHeight="true" outlineLevel="0" collapsed="false">
      <c r="B1" s="1"/>
      <c r="C1" s="1"/>
      <c r="D1" s="1"/>
      <c r="E1" s="1"/>
      <c r="F1" s="1"/>
      <c r="G1" s="1"/>
      <c r="H1" s="1"/>
      <c r="I1" s="1"/>
      <c r="J1" s="1"/>
      <c r="K1" s="2"/>
      <c r="Q1" s="3"/>
      <c r="R1" s="3"/>
    </row>
    <row r="2" customFormat="false" ht="98.85" hidden="false" customHeight="true" outlineLevel="0" collapsed="false">
      <c r="A2" s="3"/>
      <c r="B2" s="4"/>
      <c r="C2" s="4"/>
      <c r="D2" s="4"/>
      <c r="E2" s="4"/>
      <c r="F2" s="4"/>
      <c r="G2" s="4"/>
      <c r="H2" s="4"/>
      <c r="I2" s="4"/>
      <c r="J2" s="4"/>
      <c r="K2" s="5"/>
      <c r="L2" s="3"/>
      <c r="M2" s="3"/>
      <c r="N2" s="3"/>
      <c r="O2" s="3"/>
      <c r="P2" s="3"/>
      <c r="Q2" s="3"/>
      <c r="R2" s="3"/>
      <c r="T2" s="6"/>
    </row>
    <row r="3" customFormat="false" ht="24.6" hidden="false" customHeight="true" outlineLevel="0" collapsed="false">
      <c r="A3" s="3"/>
      <c r="B3" s="7" t="s">
        <v>0</v>
      </c>
      <c r="C3" s="8" t="n">
        <v>44824</v>
      </c>
      <c r="D3" s="9"/>
      <c r="E3" s="10" t="s">
        <v>2</v>
      </c>
      <c r="F3" s="11" t="s">
        <v>3</v>
      </c>
      <c r="G3" s="12" t="s">
        <v>4</v>
      </c>
      <c r="H3" s="10"/>
      <c r="I3" s="13"/>
      <c r="J3" s="14" t="s">
        <v>5</v>
      </c>
      <c r="K3" s="90" t="n">
        <v>25</v>
      </c>
      <c r="L3" s="27" t="s">
        <v>6</v>
      </c>
      <c r="M3" s="50" t="s">
        <v>7</v>
      </c>
      <c r="N3" s="3"/>
      <c r="O3" s="3"/>
      <c r="P3" s="3"/>
      <c r="Q3" s="18" t="s">
        <v>8</v>
      </c>
      <c r="R3" s="3"/>
    </row>
    <row r="4" customFormat="false" ht="30.55" hidden="false" customHeight="true" outlineLevel="0" collapsed="false">
      <c r="A4" s="3"/>
      <c r="B4" s="19" t="s">
        <v>28</v>
      </c>
      <c r="C4" s="20" t="n">
        <v>48</v>
      </c>
      <c r="D4" s="3"/>
      <c r="E4" s="3"/>
      <c r="F4" s="91" t="n">
        <v>50</v>
      </c>
      <c r="G4" s="92" t="n">
        <v>15</v>
      </c>
      <c r="H4" s="23" t="s">
        <v>9</v>
      </c>
      <c r="I4" s="23"/>
      <c r="J4" s="24" t="str">
        <f aca="false">+B4</f>
        <v>Feldpath</v>
      </c>
      <c r="K4" s="25" t="n">
        <f aca="false">+C4/C15*25</f>
        <v>12.2448979591837</v>
      </c>
      <c r="L4" s="3"/>
      <c r="M4" s="26" t="str">
        <f aca="false">+F3</f>
        <v>Cendre</v>
      </c>
      <c r="N4" s="3"/>
      <c r="O4" s="3"/>
      <c r="P4" s="3"/>
      <c r="Q4" s="16" t="str">
        <f aca="false">+F3</f>
        <v>Cendre</v>
      </c>
      <c r="R4" s="3"/>
    </row>
    <row r="5" customFormat="false" ht="18.55" hidden="false" customHeight="false" outlineLevel="0" collapsed="false">
      <c r="A5" s="3"/>
      <c r="B5" s="19" t="s">
        <v>29</v>
      </c>
      <c r="C5" s="20" t="n">
        <v>20</v>
      </c>
      <c r="D5" s="3"/>
      <c r="E5" s="28" t="s">
        <v>10</v>
      </c>
      <c r="F5" s="3"/>
      <c r="G5" s="29"/>
      <c r="H5" s="3"/>
      <c r="I5" s="3"/>
      <c r="J5" s="24" t="str">
        <f aca="false">+B5</f>
        <v>gertsley</v>
      </c>
      <c r="K5" s="25" t="n">
        <f aca="false">+C5/C15*25</f>
        <v>5.10204081632653</v>
      </c>
      <c r="L5" s="3"/>
      <c r="M5" s="93" t="str">
        <f aca="false">+CONCATENATE("+",F4,"%")</f>
        <v>+50%</v>
      </c>
      <c r="N5" s="3"/>
      <c r="O5" s="3"/>
      <c r="P5" s="3"/>
      <c r="Q5" s="31" t="str">
        <f aca="false">+G3</f>
        <v>Talc</v>
      </c>
      <c r="R5" s="3"/>
    </row>
    <row r="6" customFormat="false" ht="15" hidden="false" customHeight="false" outlineLevel="0" collapsed="false">
      <c r="A6" s="3"/>
      <c r="B6" s="19" t="s">
        <v>14</v>
      </c>
      <c r="C6" s="20" t="n">
        <v>15</v>
      </c>
      <c r="D6" s="3"/>
      <c r="E6" s="32" t="s">
        <v>12</v>
      </c>
      <c r="F6" s="33" t="n">
        <f aca="false">+F4*0.0625</f>
        <v>3.125</v>
      </c>
      <c r="G6" s="34" t="str">
        <f aca="false">+F3</f>
        <v>Cendre</v>
      </c>
      <c r="H6" s="3" t="s">
        <v>13</v>
      </c>
      <c r="I6" s="3"/>
      <c r="J6" s="24" t="str">
        <f aca="false">+B6</f>
        <v>silice</v>
      </c>
      <c r="K6" s="25" t="n">
        <f aca="false">+C6/C15*25</f>
        <v>3.8265306122449</v>
      </c>
      <c r="L6" s="3"/>
      <c r="M6" s="35"/>
      <c r="N6" s="3"/>
      <c r="O6" s="3"/>
      <c r="P6" s="3"/>
      <c r="Q6" s="3"/>
      <c r="R6" s="3"/>
    </row>
    <row r="7" customFormat="false" ht="15" hidden="false" customHeight="false" outlineLevel="0" collapsed="false">
      <c r="A7" s="3"/>
      <c r="B7" s="19" t="s">
        <v>30</v>
      </c>
      <c r="C7" s="20" t="n">
        <v>10</v>
      </c>
      <c r="D7" s="3"/>
      <c r="E7" s="3"/>
      <c r="F7" s="36" t="n">
        <f aca="false">+F6*1.56</f>
        <v>4.875</v>
      </c>
      <c r="G7" s="37" t="s">
        <v>15</v>
      </c>
      <c r="H7" s="3" t="s">
        <v>16</v>
      </c>
      <c r="I7" s="3"/>
      <c r="J7" s="24" t="str">
        <f aca="false">+B7</f>
        <v>kaolin</v>
      </c>
      <c r="K7" s="25" t="n">
        <f aca="false">+C7/C15*25</f>
        <v>2.55102040816327</v>
      </c>
      <c r="L7" s="3"/>
      <c r="M7" s="3"/>
      <c r="N7" s="3"/>
      <c r="O7" s="3"/>
      <c r="P7" s="3"/>
      <c r="Q7" s="3"/>
      <c r="R7" s="3"/>
    </row>
    <row r="8" customFormat="false" ht="15" hidden="false" customHeight="false" outlineLevel="0" collapsed="false">
      <c r="A8" s="3"/>
      <c r="B8" s="19" t="s">
        <v>31</v>
      </c>
      <c r="C8" s="20" t="n">
        <v>5</v>
      </c>
      <c r="D8" s="3"/>
      <c r="E8" s="32" t="s">
        <v>18</v>
      </c>
      <c r="F8" s="33" t="n">
        <f aca="false">+G4*0.0625</f>
        <v>0.9375</v>
      </c>
      <c r="G8" s="34" t="str">
        <f aca="false">+G3</f>
        <v>Talc</v>
      </c>
      <c r="H8" s="3" t="s">
        <v>6</v>
      </c>
      <c r="I8" s="3"/>
      <c r="J8" s="24" t="str">
        <f aca="false">+B8</f>
        <v>Chaux</v>
      </c>
      <c r="K8" s="25" t="n">
        <f aca="false">+C8/C15*25</f>
        <v>1.27551020408163</v>
      </c>
      <c r="L8" s="3"/>
      <c r="M8" s="3"/>
      <c r="N8" s="3"/>
      <c r="O8" s="3"/>
      <c r="P8" s="3"/>
      <c r="Q8" s="3"/>
      <c r="R8" s="3"/>
    </row>
    <row r="9" customFormat="false" ht="15" hidden="false" customHeight="false" outlineLevel="0" collapsed="false">
      <c r="A9" s="3"/>
      <c r="B9" s="19"/>
      <c r="C9" s="20"/>
      <c r="D9" s="3"/>
      <c r="E9" s="3"/>
      <c r="F9" s="36" t="n">
        <f aca="false">+F8*1.56</f>
        <v>1.4625</v>
      </c>
      <c r="G9" s="37" t="s">
        <v>15</v>
      </c>
      <c r="H9" s="3" t="s">
        <v>19</v>
      </c>
      <c r="I9" s="3"/>
      <c r="J9" s="24" t="n">
        <f aca="false">+B9</f>
        <v>0</v>
      </c>
      <c r="K9" s="25" t="n">
        <f aca="false">+C9/C15*25</f>
        <v>0</v>
      </c>
      <c r="L9" s="3"/>
      <c r="M9" s="3"/>
      <c r="N9" s="3"/>
      <c r="O9" s="3"/>
      <c r="P9" s="3"/>
      <c r="Q9" s="3"/>
      <c r="R9" s="3"/>
    </row>
    <row r="10" customFormat="false" ht="15" hidden="false" customHeight="false" outlineLevel="0" collapsed="false">
      <c r="A10" s="3"/>
      <c r="B10" s="19"/>
      <c r="C10" s="20"/>
      <c r="D10" s="3"/>
      <c r="E10" s="38" t="s">
        <v>20</v>
      </c>
      <c r="F10" s="39" t="n">
        <f aca="false">+F6</f>
        <v>3.125</v>
      </c>
      <c r="G10" s="40" t="str">
        <f aca="false">+G6</f>
        <v>Cendre</v>
      </c>
      <c r="H10" s="3" t="s">
        <v>6</v>
      </c>
      <c r="I10" s="3"/>
      <c r="J10" s="24" t="n">
        <f aca="false">+B10</f>
        <v>0</v>
      </c>
      <c r="K10" s="25" t="n">
        <f aca="false">+C10/C15*25</f>
        <v>0</v>
      </c>
      <c r="L10" s="3"/>
      <c r="M10" s="3"/>
      <c r="N10" s="3"/>
      <c r="O10" s="3"/>
      <c r="P10" s="3"/>
      <c r="Q10" s="3"/>
      <c r="R10" s="41"/>
    </row>
    <row r="11" customFormat="false" ht="15" hidden="false" customHeight="false" outlineLevel="0" collapsed="false">
      <c r="A11" s="3"/>
      <c r="B11" s="19"/>
      <c r="C11" s="20"/>
      <c r="D11" s="3"/>
      <c r="E11" s="3"/>
      <c r="F11" s="42" t="n">
        <f aca="false">+F8</f>
        <v>0.9375</v>
      </c>
      <c r="G11" s="37" t="str">
        <f aca="false">+G8</f>
        <v>Talc</v>
      </c>
      <c r="H11" s="3" t="s">
        <v>6</v>
      </c>
      <c r="I11" s="3"/>
      <c r="J11" s="24" t="n">
        <f aca="false">+B11</f>
        <v>0</v>
      </c>
      <c r="K11" s="25" t="n">
        <f aca="false">+C11/C15*25</f>
        <v>0</v>
      </c>
      <c r="L11" s="3"/>
      <c r="M11" s="3"/>
      <c r="N11" s="3"/>
      <c r="O11" s="3"/>
      <c r="P11" s="3"/>
      <c r="Q11" s="3"/>
      <c r="R11" s="3"/>
    </row>
    <row r="12" customFormat="false" ht="15" hidden="false" customHeight="false" outlineLevel="0" collapsed="false">
      <c r="A12" s="3"/>
      <c r="B12" s="19"/>
      <c r="C12" s="20" t="n">
        <v>0</v>
      </c>
      <c r="D12" s="3"/>
      <c r="E12" s="3"/>
      <c r="F12" s="36" t="n">
        <f aca="false">+(F11+F10)*1.56</f>
        <v>6.3375</v>
      </c>
      <c r="G12" s="37" t="s">
        <v>15</v>
      </c>
      <c r="H12" s="3" t="s">
        <v>19</v>
      </c>
      <c r="I12" s="3"/>
      <c r="J12" s="24" t="n">
        <f aca="false">+B12</f>
        <v>0</v>
      </c>
      <c r="K12" s="25" t="n">
        <f aca="false">+C12/C15*25</f>
        <v>0</v>
      </c>
      <c r="L12" s="3"/>
      <c r="M12" s="3"/>
      <c r="N12" s="3"/>
      <c r="O12" s="3"/>
      <c r="P12" s="3"/>
      <c r="Q12" s="3"/>
      <c r="R12" s="3"/>
    </row>
    <row r="13" customFormat="false" ht="15" hidden="false" customHeight="false" outlineLevel="0" collapsed="false">
      <c r="A13" s="3"/>
      <c r="B13" s="19"/>
      <c r="C13" s="20" t="n">
        <v>0</v>
      </c>
      <c r="D13" s="3"/>
      <c r="E13" s="3"/>
      <c r="F13" s="3"/>
      <c r="G13" s="29"/>
      <c r="H13" s="3"/>
      <c r="I13" s="3"/>
      <c r="J13" s="24" t="n">
        <f aca="false">+B13</f>
        <v>0</v>
      </c>
      <c r="K13" s="25" t="n">
        <f aca="false">+C13/C15*25</f>
        <v>0</v>
      </c>
      <c r="L13" s="3"/>
      <c r="M13" s="3"/>
      <c r="N13" s="3"/>
      <c r="O13" s="3"/>
      <c r="P13" s="3"/>
      <c r="Q13" s="3"/>
      <c r="R13" s="3"/>
    </row>
    <row r="14" customFormat="false" ht="14.15" hidden="false" customHeight="false" outlineLevel="0" collapsed="false">
      <c r="A14" s="3"/>
      <c r="B14" s="43"/>
      <c r="C14" s="44" t="n">
        <v>0</v>
      </c>
      <c r="D14" s="3"/>
      <c r="E14" s="3"/>
      <c r="F14" s="3"/>
      <c r="G14" s="29"/>
      <c r="H14" s="3"/>
      <c r="I14" s="3"/>
      <c r="J14" s="24" t="n">
        <f aca="false">+B14</f>
        <v>0</v>
      </c>
      <c r="K14" s="25" t="n">
        <f aca="false">+C14/C15*25</f>
        <v>0</v>
      </c>
      <c r="L14" s="3"/>
      <c r="M14" s="26" t="str">
        <f aca="false">+B3</f>
        <v>Blanc</v>
      </c>
      <c r="N14" s="3"/>
      <c r="O14" s="3"/>
      <c r="P14" s="3"/>
      <c r="Q14" s="16" t="str">
        <f aca="false">+G3</f>
        <v>Talc</v>
      </c>
      <c r="R14" s="3"/>
    </row>
    <row r="15" s="52" customFormat="true" ht="18.55" hidden="false" customHeight="false" outlineLevel="0" collapsed="false">
      <c r="A15" s="46"/>
      <c r="B15" s="47" t="s">
        <v>21</v>
      </c>
      <c r="C15" s="47" t="n">
        <f aca="false">SUM(C4:C14)</f>
        <v>98</v>
      </c>
      <c r="D15" s="46"/>
      <c r="E15" s="46"/>
      <c r="F15" s="46"/>
      <c r="G15" s="46"/>
      <c r="H15" s="46"/>
      <c r="I15" s="46"/>
      <c r="J15" s="48" t="s">
        <v>22</v>
      </c>
      <c r="K15" s="49" t="n">
        <v>39</v>
      </c>
      <c r="L15" s="46" t="s">
        <v>23</v>
      </c>
      <c r="M15" s="50" t="s">
        <v>24</v>
      </c>
      <c r="N15" s="46"/>
      <c r="O15" s="17"/>
      <c r="P15" s="50" t="s">
        <v>25</v>
      </c>
      <c r="Q15" s="50" t="str">
        <f aca="false">+CONCATENATE("+",G4,"%")</f>
        <v>+15%</v>
      </c>
      <c r="R15" s="50"/>
    </row>
    <row r="16" customFormat="false" ht="36.35" hidden="false" customHeight="true" outlineLevel="0" collapsed="false">
      <c r="A16" s="53"/>
      <c r="B16" s="53"/>
      <c r="C16" s="53"/>
      <c r="D16" s="53"/>
      <c r="E16" s="53"/>
      <c r="F16" s="53"/>
      <c r="G16" s="53"/>
      <c r="H16" s="3"/>
      <c r="I16" s="3"/>
      <c r="J16" s="3"/>
      <c r="K16" s="3"/>
      <c r="L16" s="3"/>
      <c r="M16" s="3"/>
      <c r="N16" s="94"/>
      <c r="O16" s="3"/>
      <c r="P16" s="3"/>
      <c r="Q16" s="3"/>
      <c r="R16" s="3"/>
      <c r="S16" s="55"/>
      <c r="T16" s="56"/>
      <c r="U16" s="56"/>
      <c r="V16" s="56"/>
      <c r="W16" s="56"/>
      <c r="X16" s="56"/>
    </row>
    <row r="17" s="64" customFormat="true" ht="18.45" hidden="false" customHeight="true" outlineLevel="0" collapsed="false">
      <c r="A17" s="95"/>
      <c r="B17" s="54"/>
      <c r="C17" s="57" t="s">
        <v>24</v>
      </c>
      <c r="D17" s="57" t="s">
        <v>7</v>
      </c>
      <c r="E17" s="57" t="s">
        <v>25</v>
      </c>
      <c r="F17" s="57" t="s">
        <v>8</v>
      </c>
      <c r="G17" s="57"/>
      <c r="H17" s="58" t="s">
        <v>26</v>
      </c>
      <c r="I17" s="59" t="str">
        <f aca="false">+W17</f>
        <v>1A1B2D</v>
      </c>
      <c r="J17" s="60" t="s">
        <v>7</v>
      </c>
      <c r="K17" s="61" t="s">
        <v>24</v>
      </c>
      <c r="L17" s="61" t="s">
        <v>25</v>
      </c>
      <c r="M17" s="62" t="s">
        <v>8</v>
      </c>
      <c r="N17" s="57"/>
      <c r="O17" s="29"/>
      <c r="P17" s="29"/>
      <c r="Q17" s="29"/>
      <c r="R17" s="29"/>
      <c r="S17" s="63" t="str">
        <f aca="false">CONCATENATE(IF(J18=1,"1A",""),IF(J18=2,"2A",""),IF(J18=3,"3A",""),IF(J18=4,"4A",""))</f>
        <v>1A</v>
      </c>
      <c r="T17" s="63" t="str">
        <f aca="false">CONCATENATE(IF(K18=1,"1B",""),IF(K18=2,"2B",""),IF(K18=3,"3B",""),IF(K18=4,"4B",""))</f>
        <v>1B</v>
      </c>
      <c r="U17" s="63" t="str">
        <f aca="false">CONCATENATE(IF(L18=1,"1C",""),IF(L18=2,"2C",""),IF(L18=3,"3C",""),IF(L18=4,"4C",""))</f>
        <v/>
      </c>
      <c r="V17" s="63" t="str">
        <f aca="false">CONCATENATE(IF(M18=1,"1D",""),IF(M18=2,"2D",""),IF(M18=3,"3D",""),IF(M18=4,"4D",""))</f>
        <v>2D</v>
      </c>
      <c r="W17" s="63" t="str">
        <f aca="false">CONCATENATE(S17,T17,U17,V17)</f>
        <v>1A1B2D</v>
      </c>
      <c r="X17" s="63"/>
    </row>
    <row r="18" customFormat="false" ht="18.45" hidden="false" customHeight="true" outlineLevel="0" collapsed="false">
      <c r="A18" s="53"/>
      <c r="B18" s="65" t="str">
        <f aca="false">+B4</f>
        <v>Feldpath</v>
      </c>
      <c r="C18" s="66" t="n">
        <f aca="false">+C4/C15*100</f>
        <v>48.9795918367347</v>
      </c>
      <c r="D18" s="66" t="n">
        <f aca="false">+C18/(100+F4)*100</f>
        <v>32.6530612244898</v>
      </c>
      <c r="E18" s="66" t="n">
        <f aca="false">+C18/(100+G4)*100</f>
        <v>42.5909494232476</v>
      </c>
      <c r="F18" s="66" t="n">
        <f aca="false">+C18/(F4+G4+100)*100</f>
        <v>29.6846011131725</v>
      </c>
      <c r="G18" s="66" t="n">
        <f aca="false">IFERROR(INDEX($N$28:$N$29,MATCH(B18,$B$28:$B$29,0),1),0)</f>
        <v>0</v>
      </c>
      <c r="H18" s="67" t="str">
        <f aca="false">+B18</f>
        <v>Feldpath</v>
      </c>
      <c r="I18" s="68" t="n">
        <f aca="false">+N18+G18*(H32+I32)</f>
        <v>35.2504638218924</v>
      </c>
      <c r="J18" s="69" t="n">
        <v>1</v>
      </c>
      <c r="K18" s="70" t="n">
        <v>1</v>
      </c>
      <c r="L18" s="70" t="n">
        <v>0</v>
      </c>
      <c r="M18" s="71" t="n">
        <v>2</v>
      </c>
      <c r="N18" s="72" t="n">
        <f aca="false">+(J18*D18+C18*K18+L18*E18+M18*F18)/(J18+K18+L18+M18)</f>
        <v>35.2504638218924</v>
      </c>
      <c r="O18" s="73"/>
      <c r="P18" s="73"/>
      <c r="Q18" s="73"/>
      <c r="R18" s="73"/>
      <c r="S18" s="56" t="n">
        <f aca="false">+(J18*D18+K18*C18+L18*E18+M18*F18)/(J18+K18+L18+M18)+IFERROR(VLOOKUP(H18,$H$28:$I$29,2,0),0)</f>
        <v>35.2504638218924</v>
      </c>
      <c r="T18" s="56"/>
      <c r="U18" s="56"/>
      <c r="V18" s="56"/>
      <c r="W18" s="56"/>
      <c r="X18" s="56"/>
    </row>
    <row r="19" customFormat="false" ht="18.45" hidden="false" customHeight="true" outlineLevel="0" collapsed="false">
      <c r="A19" s="53"/>
      <c r="B19" s="65" t="str">
        <f aca="false">+B5</f>
        <v>gertsley</v>
      </c>
      <c r="C19" s="66" t="n">
        <f aca="false">+C5/C15*100</f>
        <v>20.4081632653061</v>
      </c>
      <c r="D19" s="66" t="n">
        <f aca="false">+C19/(100+F4)*100</f>
        <v>13.6054421768707</v>
      </c>
      <c r="E19" s="66" t="n">
        <f aca="false">+C19/(100+G4)*100</f>
        <v>17.7462289263532</v>
      </c>
      <c r="F19" s="66" t="n">
        <f aca="false">+C19/(F4+G4+100)*100</f>
        <v>12.3685837971552</v>
      </c>
      <c r="G19" s="66" t="n">
        <f aca="false">IFERROR(INDEX($N$28:$N$29,MATCH(B19,$B$28:$B$29,0),1),0)</f>
        <v>0</v>
      </c>
      <c r="H19" s="67" t="str">
        <f aca="false">+B19</f>
        <v>gertsley</v>
      </c>
      <c r="I19" s="68" t="n">
        <f aca="false">+N19+G19*(H33+I33)</f>
        <v>14.6876932591218</v>
      </c>
      <c r="J19" s="96" t="n">
        <f aca="false">+J18</f>
        <v>1</v>
      </c>
      <c r="K19" s="96" t="n">
        <f aca="false">+K18</f>
        <v>1</v>
      </c>
      <c r="L19" s="96" t="n">
        <f aca="false">+L18</f>
        <v>0</v>
      </c>
      <c r="M19" s="96" t="n">
        <f aca="false">+M18</f>
        <v>2</v>
      </c>
      <c r="N19" s="72" t="n">
        <f aca="false">+(J19*D19+C19*K19+L19*E19+M19*F19)/(J19+K19+L19+M19)</f>
        <v>14.6876932591218</v>
      </c>
      <c r="O19" s="73"/>
      <c r="P19" s="73"/>
      <c r="Q19" s="73"/>
      <c r="R19" s="73"/>
      <c r="S19" s="56" t="n">
        <f aca="false">+(J19*D19+K19*C19+L19*E19+M19*F19)/(J19+K19+L19+M19)+IFERROR(VLOOKUP(H19,$H$28:$I$29,2,0),0)</f>
        <v>14.6876932591218</v>
      </c>
      <c r="T19" s="56"/>
      <c r="U19" s="56"/>
      <c r="V19" s="56"/>
      <c r="W19" s="56"/>
      <c r="X19" s="56"/>
    </row>
    <row r="20" customFormat="false" ht="18.45" hidden="false" customHeight="true" outlineLevel="0" collapsed="false">
      <c r="A20" s="53"/>
      <c r="B20" s="65" t="str">
        <f aca="false">+B6</f>
        <v>silice</v>
      </c>
      <c r="C20" s="66" t="n">
        <f aca="false">+C6/C15*100</f>
        <v>15.3061224489796</v>
      </c>
      <c r="D20" s="66" t="n">
        <f aca="false">+C20/(100+F4)*100</f>
        <v>10.2040816326531</v>
      </c>
      <c r="E20" s="66" t="n">
        <f aca="false">+C20/(100+G4)*100</f>
        <v>13.3096716947649</v>
      </c>
      <c r="F20" s="66" t="n">
        <f aca="false">+C20/(F4+G4+100)*100</f>
        <v>9.27643784786642</v>
      </c>
      <c r="G20" s="66" t="n">
        <f aca="false">IFERROR(INDEX($N$28:$N$29,MATCH(B20,$B$28:$B$29,0),1),0)</f>
        <v>0</v>
      </c>
      <c r="H20" s="67" t="str">
        <f aca="false">+B20</f>
        <v>silice</v>
      </c>
      <c r="I20" s="68" t="n">
        <f aca="false">+N20+G20*(H34+I34)</f>
        <v>11.0157699443414</v>
      </c>
      <c r="J20" s="96" t="n">
        <f aca="false">+J19</f>
        <v>1</v>
      </c>
      <c r="K20" s="96" t="n">
        <f aca="false">+K19</f>
        <v>1</v>
      </c>
      <c r="L20" s="96" t="n">
        <f aca="false">+L19</f>
        <v>0</v>
      </c>
      <c r="M20" s="96" t="n">
        <f aca="false">+M19</f>
        <v>2</v>
      </c>
      <c r="N20" s="72" t="n">
        <f aca="false">+(J20*D20+C20*K20+L20*E20+M20*F20)/(J20+K20+L20+M20)</f>
        <v>11.0157699443414</v>
      </c>
      <c r="O20" s="73"/>
      <c r="P20" s="73"/>
      <c r="Q20" s="73"/>
      <c r="R20" s="73"/>
      <c r="S20" s="56" t="n">
        <f aca="false">+(J20*D20+K20*C20+L20*E20+M20*F20)/(J20+K20+L20+M20)+IFERROR(VLOOKUP(H20,$H$28:$I$29,2,0),0)</f>
        <v>11.0157699443414</v>
      </c>
      <c r="T20" s="56"/>
      <c r="U20" s="56"/>
      <c r="V20" s="56"/>
      <c r="W20" s="56"/>
      <c r="X20" s="56"/>
    </row>
    <row r="21" customFormat="false" ht="18.45" hidden="false" customHeight="true" outlineLevel="0" collapsed="false">
      <c r="A21" s="53"/>
      <c r="B21" s="65" t="str">
        <f aca="false">+B7</f>
        <v>kaolin</v>
      </c>
      <c r="C21" s="66" t="n">
        <f aca="false">+C7/C15*100</f>
        <v>10.2040816326531</v>
      </c>
      <c r="D21" s="66" t="n">
        <f aca="false">+C21/(100+F4)*100</f>
        <v>6.80272108843537</v>
      </c>
      <c r="E21" s="66" t="n">
        <f aca="false">+C21/(100+G4)*100</f>
        <v>8.87311446317658</v>
      </c>
      <c r="F21" s="66" t="n">
        <f aca="false">+C21/(F4+G4+100)*100</f>
        <v>6.18429189857761</v>
      </c>
      <c r="G21" s="66" t="n">
        <f aca="false">IFERROR(INDEX($N$28:$N$29,MATCH(B21,$B$28:$B$29,0),1),0)</f>
        <v>0</v>
      </c>
      <c r="H21" s="67" t="str">
        <f aca="false">+B21</f>
        <v>kaolin</v>
      </c>
      <c r="I21" s="68" t="n">
        <f aca="false">+N21+G21*(H35+I35)</f>
        <v>7.34384662956091</v>
      </c>
      <c r="J21" s="96" t="n">
        <f aca="false">+J20</f>
        <v>1</v>
      </c>
      <c r="K21" s="96" t="n">
        <f aca="false">+K20</f>
        <v>1</v>
      </c>
      <c r="L21" s="96" t="n">
        <f aca="false">+L20</f>
        <v>0</v>
      </c>
      <c r="M21" s="96" t="n">
        <f aca="false">+M20</f>
        <v>2</v>
      </c>
      <c r="N21" s="72" t="n">
        <f aca="false">+(J21*D21+C21*K21+L21*E21+M21*F21)/(J21+K21+L21+M21)</f>
        <v>7.34384662956091</v>
      </c>
      <c r="O21" s="73"/>
      <c r="P21" s="73"/>
      <c r="Q21" s="73"/>
      <c r="R21" s="73"/>
      <c r="S21" s="56" t="n">
        <f aca="false">+(J21*D21+K21*C21+L21*E21+M21*F21)/(J21+K21+L21+M21)+IFERROR(VLOOKUP(H21,$H$28:$I$29,2,0),0)</f>
        <v>7.34384662956091</v>
      </c>
      <c r="T21" s="56"/>
      <c r="U21" s="56"/>
      <c r="V21" s="56"/>
      <c r="W21" s="56"/>
      <c r="X21" s="56"/>
    </row>
    <row r="22" customFormat="false" ht="18.45" hidden="false" customHeight="true" outlineLevel="0" collapsed="false">
      <c r="A22" s="53"/>
      <c r="B22" s="65" t="str">
        <f aca="false">+B8</f>
        <v>Chaux</v>
      </c>
      <c r="C22" s="66" t="n">
        <f aca="false">+C8/C15*100</f>
        <v>5.10204081632653</v>
      </c>
      <c r="D22" s="66" t="n">
        <f aca="false">+C22/(100+F4)*100</f>
        <v>3.40136054421769</v>
      </c>
      <c r="E22" s="66" t="n">
        <f aca="false">+C22/(100+G4)*100</f>
        <v>4.43655723158829</v>
      </c>
      <c r="F22" s="66" t="n">
        <f aca="false">+C22/(F4+G4+100)*100</f>
        <v>3.09214594928881</v>
      </c>
      <c r="G22" s="66" t="n">
        <f aca="false">IFERROR(INDEX($N$28:$N$29,MATCH(B22,$B$28:$B$29,0),1),0)</f>
        <v>0</v>
      </c>
      <c r="H22" s="67" t="str">
        <f aca="false">+B22</f>
        <v>Chaux</v>
      </c>
      <c r="I22" s="68" t="n">
        <f aca="false">+N22+G22*(H36+I36)</f>
        <v>3.67192331478046</v>
      </c>
      <c r="J22" s="96" t="n">
        <f aca="false">+J21</f>
        <v>1</v>
      </c>
      <c r="K22" s="96" t="n">
        <f aca="false">+K21</f>
        <v>1</v>
      </c>
      <c r="L22" s="96" t="n">
        <f aca="false">+L21</f>
        <v>0</v>
      </c>
      <c r="M22" s="96" t="n">
        <f aca="false">+M21</f>
        <v>2</v>
      </c>
      <c r="N22" s="72" t="n">
        <f aca="false">+(J22*D22+C22*K22+L22*E22+M22*F22)/(J22+K22+L22+M22)</f>
        <v>3.67192331478046</v>
      </c>
      <c r="O22" s="73"/>
      <c r="P22" s="73"/>
      <c r="Q22" s="73"/>
      <c r="R22" s="73"/>
      <c r="S22" s="56" t="n">
        <f aca="false">+(J22*D22+K22*C22+L22*E22+M22*F22)/(J22+K22+L22+M22)+IFERROR(VLOOKUP(H22,$H$28:$I$29,2,0),0)</f>
        <v>3.67192331478046</v>
      </c>
      <c r="T22" s="56"/>
      <c r="U22" s="56"/>
      <c r="V22" s="56"/>
      <c r="W22" s="56"/>
      <c r="X22" s="56"/>
    </row>
    <row r="23" customFormat="false" ht="18.45" hidden="false" customHeight="true" outlineLevel="0" collapsed="false">
      <c r="A23" s="53"/>
      <c r="B23" s="65" t="n">
        <f aca="false">+B9</f>
        <v>0</v>
      </c>
      <c r="C23" s="66" t="n">
        <f aca="false">+C9/C15*100</f>
        <v>0</v>
      </c>
      <c r="D23" s="66" t="n">
        <f aca="false">+C23/(100+D28)*100</f>
        <v>0</v>
      </c>
      <c r="E23" s="66" t="n">
        <f aca="false">+C23/(100+G4)*100</f>
        <v>0</v>
      </c>
      <c r="F23" s="66" t="n">
        <f aca="false">+C23/(F4+G4+100)*100</f>
        <v>0</v>
      </c>
      <c r="G23" s="66" t="n">
        <f aca="false">IFERROR(INDEX($N$28:$N$29,MATCH(B23,$B$28:$B$29,0),1),0)</f>
        <v>0</v>
      </c>
      <c r="H23" s="75" t="n">
        <f aca="false">+B23</f>
        <v>0</v>
      </c>
      <c r="I23" s="68" t="n">
        <f aca="false">+N23+G23*(H37+I37)</f>
        <v>0</v>
      </c>
      <c r="J23" s="96" t="n">
        <f aca="false">+J22</f>
        <v>1</v>
      </c>
      <c r="K23" s="96" t="n">
        <f aca="false">+K22</f>
        <v>1</v>
      </c>
      <c r="L23" s="96" t="n">
        <f aca="false">+L22</f>
        <v>0</v>
      </c>
      <c r="M23" s="96" t="n">
        <f aca="false">+M22</f>
        <v>2</v>
      </c>
      <c r="N23" s="72" t="n">
        <f aca="false">+(J23*D23+C23*K23+L23*E23+M23*F23)/(J23+K23+L23+M23)</f>
        <v>0</v>
      </c>
      <c r="O23" s="73"/>
      <c r="P23" s="73"/>
      <c r="Q23" s="73"/>
      <c r="R23" s="73"/>
      <c r="S23" s="56" t="n">
        <f aca="false">+(J23*D23+K23*C23+L23*E23+M23*F23)/(J23+K23+L23+M23)+IFERROR(VLOOKUP(H23,$H$28:$I$29,2,0),0)</f>
        <v>0</v>
      </c>
      <c r="T23" s="56"/>
      <c r="U23" s="56"/>
      <c r="V23" s="56"/>
      <c r="W23" s="56"/>
      <c r="X23" s="56"/>
    </row>
    <row r="24" customFormat="false" ht="18.45" hidden="false" customHeight="true" outlineLevel="0" collapsed="false">
      <c r="A24" s="53"/>
      <c r="B24" s="65" t="n">
        <f aca="false">+B10</f>
        <v>0</v>
      </c>
      <c r="C24" s="66" t="n">
        <f aca="false">+C10/C15*100</f>
        <v>0</v>
      </c>
      <c r="D24" s="66" t="n">
        <f aca="false">+C24/(100+D28)*100</f>
        <v>0</v>
      </c>
      <c r="E24" s="66" t="n">
        <f aca="false">+C24/(100+G4)*100</f>
        <v>0</v>
      </c>
      <c r="F24" s="66" t="n">
        <f aca="false">+C24/(F4+G4+100)*100</f>
        <v>0</v>
      </c>
      <c r="G24" s="66" t="n">
        <f aca="false">IFERROR(INDEX($N$28:$N$29,MATCH(B24,$B$28:$B$29,0),1),0)</f>
        <v>0</v>
      </c>
      <c r="H24" s="75" t="n">
        <f aca="false">+B24</f>
        <v>0</v>
      </c>
      <c r="I24" s="68" t="n">
        <f aca="false">+N24+G24*(H38+I38)</f>
        <v>0</v>
      </c>
      <c r="J24" s="96" t="n">
        <f aca="false">+J23</f>
        <v>1</v>
      </c>
      <c r="K24" s="96" t="n">
        <f aca="false">+K23</f>
        <v>1</v>
      </c>
      <c r="L24" s="96" t="n">
        <f aca="false">+L23</f>
        <v>0</v>
      </c>
      <c r="M24" s="96" t="n">
        <f aca="false">+M23</f>
        <v>2</v>
      </c>
      <c r="N24" s="72" t="n">
        <f aca="false">+(J24*D24+C24*K24+L24*E24+M24*F24)/(J24+K24+L24+M24)</f>
        <v>0</v>
      </c>
      <c r="O24" s="73"/>
      <c r="P24" s="73"/>
      <c r="Q24" s="73"/>
      <c r="R24" s="73"/>
      <c r="S24" s="56" t="n">
        <f aca="false">+(J24*D24+K24*C24+L24*E24+M24*F24)/(J24+K24+L24+M24)+IFERROR(VLOOKUP(H24,$H$28:$I$29,2,0),0)</f>
        <v>0</v>
      </c>
      <c r="T24" s="56"/>
      <c r="U24" s="56"/>
      <c r="V24" s="56"/>
      <c r="W24" s="56"/>
      <c r="X24" s="56"/>
    </row>
    <row r="25" customFormat="false" ht="18.45" hidden="false" customHeight="true" outlineLevel="0" collapsed="false">
      <c r="A25" s="53"/>
      <c r="B25" s="65" t="n">
        <f aca="false">+B11</f>
        <v>0</v>
      </c>
      <c r="C25" s="66" t="n">
        <f aca="false">+C11/C15*100</f>
        <v>0</v>
      </c>
      <c r="D25" s="66" t="n">
        <f aca="false">+C25/(100+D28)*100</f>
        <v>0</v>
      </c>
      <c r="E25" s="66" t="n">
        <f aca="false">+C25/(100+G4)*100</f>
        <v>0</v>
      </c>
      <c r="F25" s="66" t="n">
        <f aca="false">+C25/(F4+G4+100)*100</f>
        <v>0</v>
      </c>
      <c r="G25" s="66" t="n">
        <f aca="false">IFERROR(INDEX($N$28:$N$29,MATCH(B25,$B$28:$B$29,0),1),0)</f>
        <v>0</v>
      </c>
      <c r="H25" s="75" t="n">
        <f aca="false">+B25</f>
        <v>0</v>
      </c>
      <c r="I25" s="68" t="n">
        <f aca="false">+N25+G25*(H39+I39)</f>
        <v>0</v>
      </c>
      <c r="J25" s="96" t="n">
        <f aca="false">+J24</f>
        <v>1</v>
      </c>
      <c r="K25" s="96" t="n">
        <f aca="false">+K24</f>
        <v>1</v>
      </c>
      <c r="L25" s="96" t="n">
        <f aca="false">+L24</f>
        <v>0</v>
      </c>
      <c r="M25" s="96" t="n">
        <f aca="false">+M24</f>
        <v>2</v>
      </c>
      <c r="N25" s="72" t="n">
        <f aca="false">+(J25*D25+C25*K25+L25*E25+M25*F25)/(J25+K25+L25+M25)</f>
        <v>0</v>
      </c>
      <c r="O25" s="73"/>
      <c r="P25" s="73"/>
      <c r="Q25" s="73"/>
      <c r="R25" s="73"/>
      <c r="S25" s="56" t="n">
        <f aca="false">+(J25*D25+K25*C25+L25*E25+M25*F25)/(J25+K25+L25+M25)+IFERROR(VLOOKUP(H25,$H$28:$I$29,2,0),0)</f>
        <v>0</v>
      </c>
      <c r="T25" s="56"/>
      <c r="U25" s="56"/>
      <c r="V25" s="56"/>
      <c r="W25" s="56"/>
      <c r="X25" s="56"/>
    </row>
    <row r="26" customFormat="false" ht="18.45" hidden="false" customHeight="true" outlineLevel="0" collapsed="false">
      <c r="A26" s="53"/>
      <c r="B26" s="65" t="n">
        <f aca="false">+B12</f>
        <v>0</v>
      </c>
      <c r="C26" s="66" t="n">
        <f aca="false">+C12/C15*100</f>
        <v>0</v>
      </c>
      <c r="D26" s="66" t="n">
        <f aca="false">+C26/(100+D28)*100</f>
        <v>0</v>
      </c>
      <c r="E26" s="66" t="n">
        <f aca="false">+D26/(100+G4)*100</f>
        <v>0</v>
      </c>
      <c r="F26" s="66" t="n">
        <f aca="false">+C26/(F4+G4+100)*100</f>
        <v>0</v>
      </c>
      <c r="G26" s="66" t="n">
        <f aca="false">IFERROR(INDEX($N$28:$N$29,MATCH(B26,$B$28:$B$29,0),1),0)</f>
        <v>0</v>
      </c>
      <c r="H26" s="75" t="n">
        <f aca="false">+B26</f>
        <v>0</v>
      </c>
      <c r="I26" s="68" t="n">
        <f aca="false">+N26+G26*(H40+I40)</f>
        <v>0</v>
      </c>
      <c r="J26" s="96" t="n">
        <f aca="false">+J25</f>
        <v>1</v>
      </c>
      <c r="K26" s="96" t="n">
        <f aca="false">+K25</f>
        <v>1</v>
      </c>
      <c r="L26" s="96" t="n">
        <f aca="false">+L25</f>
        <v>0</v>
      </c>
      <c r="M26" s="96" t="n">
        <f aca="false">+M25</f>
        <v>2</v>
      </c>
      <c r="N26" s="72" t="n">
        <f aca="false">+(J26*D26+C26*K26+L26*E26+M26*F26)/(J26+K26+L26+M26)</f>
        <v>0</v>
      </c>
      <c r="O26" s="73"/>
      <c r="P26" s="73"/>
      <c r="Q26" s="73"/>
      <c r="R26" s="73"/>
      <c r="S26" s="56" t="n">
        <f aca="false">+(J26*D26+K26*C26+L26*E26+M26*F26)/(J26+K26+L26+M26)+IFERROR(VLOOKUP(H26,$H$28:$I$29,2,0),0)</f>
        <v>0</v>
      </c>
      <c r="T26" s="56"/>
      <c r="U26" s="56"/>
      <c r="V26" s="56"/>
      <c r="W26" s="56"/>
      <c r="X26" s="56"/>
    </row>
    <row r="27" customFormat="false" ht="18.45" hidden="false" customHeight="true" outlineLevel="0" collapsed="false">
      <c r="A27" s="53"/>
      <c r="B27" s="65" t="n">
        <f aca="false">+B13</f>
        <v>0</v>
      </c>
      <c r="C27" s="66" t="n">
        <f aca="false">+C14/C15*100</f>
        <v>0</v>
      </c>
      <c r="D27" s="66" t="n">
        <f aca="false">+C27/(100+D28)*100</f>
        <v>0</v>
      </c>
      <c r="E27" s="66" t="n">
        <f aca="false">+C27/(100+G13)*100</f>
        <v>0</v>
      </c>
      <c r="F27" s="66" t="n">
        <f aca="false">+C27/(F4+G4+100)*100</f>
        <v>0</v>
      </c>
      <c r="G27" s="66" t="n">
        <f aca="false">IFERROR(INDEX($N$28:$N$29,MATCH(B27,$B$28:$B$29,0),1),0)</f>
        <v>0</v>
      </c>
      <c r="H27" s="75" t="n">
        <f aca="false">+B27</f>
        <v>0</v>
      </c>
      <c r="I27" s="68" t="n">
        <f aca="false">+N27+G27*(H41+I41)</f>
        <v>0</v>
      </c>
      <c r="J27" s="96" t="n">
        <f aca="false">+J26</f>
        <v>1</v>
      </c>
      <c r="K27" s="96" t="n">
        <f aca="false">+K26</f>
        <v>1</v>
      </c>
      <c r="L27" s="96" t="n">
        <f aca="false">+L26</f>
        <v>0</v>
      </c>
      <c r="M27" s="96" t="n">
        <f aca="false">+M26</f>
        <v>2</v>
      </c>
      <c r="N27" s="72" t="n">
        <f aca="false">+(J27*D27+C27*K27+L27*E27+M27*F27)/(J27+K27+L27+M27)</f>
        <v>0</v>
      </c>
      <c r="O27" s="73"/>
      <c r="P27" s="73"/>
      <c r="Q27" s="73"/>
      <c r="R27" s="73"/>
      <c r="S27" s="56" t="n">
        <f aca="false">+(J27*D27+K27*C27+L27*E27+M27*F27)/(J27+K27+L27+M27)+IFERROR(VLOOKUP(H27,$H$28:$I$29,2,0),0)</f>
        <v>0</v>
      </c>
      <c r="T27" s="56"/>
      <c r="U27" s="56"/>
      <c r="V27" s="56"/>
      <c r="W27" s="56"/>
      <c r="X27" s="56"/>
    </row>
    <row r="28" customFormat="false" ht="18.45" hidden="false" customHeight="true" outlineLevel="0" collapsed="false">
      <c r="A28" s="53"/>
      <c r="B28" s="65" t="str">
        <f aca="false">+F3</f>
        <v>Cendre</v>
      </c>
      <c r="C28" s="66" t="n">
        <v>0</v>
      </c>
      <c r="D28" s="66" t="n">
        <f aca="false">+F4/(F4+100)*100</f>
        <v>33.3333333333333</v>
      </c>
      <c r="E28" s="66" t="n">
        <v>0</v>
      </c>
      <c r="F28" s="66" t="n">
        <f aca="false">+F4/(G4+F4+100)*100</f>
        <v>30.3030303030303</v>
      </c>
      <c r="G28" s="66"/>
      <c r="H28" s="76" t="str">
        <f aca="false">+IF(H43=0,F3,"")</f>
        <v>Cendre</v>
      </c>
      <c r="I28" s="77" t="n">
        <f aca="false">+IF(H43=0,N28,"")</f>
        <v>23.4848484848485</v>
      </c>
      <c r="J28" s="96" t="n">
        <f aca="false">+J27</f>
        <v>1</v>
      </c>
      <c r="K28" s="96" t="n">
        <f aca="false">+K27</f>
        <v>1</v>
      </c>
      <c r="L28" s="96" t="n">
        <f aca="false">+L27</f>
        <v>0</v>
      </c>
      <c r="M28" s="96" t="n">
        <f aca="false">+M27</f>
        <v>2</v>
      </c>
      <c r="N28" s="72" t="n">
        <f aca="false">+(J28*D28+C28*K28+L28*E28+M28*F28)/(J28+K28+L28+M28)</f>
        <v>23.4848484848485</v>
      </c>
      <c r="O28" s="73"/>
      <c r="P28" s="73"/>
      <c r="Q28" s="73"/>
      <c r="R28" s="73"/>
      <c r="S28" s="78"/>
      <c r="T28" s="56"/>
      <c r="U28" s="56"/>
      <c r="V28" s="56"/>
      <c r="W28" s="56"/>
      <c r="X28" s="56"/>
    </row>
    <row r="29" customFormat="false" ht="18.45" hidden="false" customHeight="true" outlineLevel="0" collapsed="false">
      <c r="A29" s="53"/>
      <c r="B29" s="65" t="str">
        <f aca="false">+G3</f>
        <v>Talc</v>
      </c>
      <c r="C29" s="66" t="n">
        <v>0</v>
      </c>
      <c r="D29" s="66" t="n">
        <v>0</v>
      </c>
      <c r="E29" s="66" t="n">
        <f aca="false">+G4/(G4+100)*100</f>
        <v>13.0434782608696</v>
      </c>
      <c r="F29" s="66" t="n">
        <f aca="false">+G4/(G4+F4+100)*100</f>
        <v>9.09090909090909</v>
      </c>
      <c r="G29" s="66"/>
      <c r="H29" s="79" t="str">
        <f aca="false">+IF(I43=0,G3,"")</f>
        <v>Talc</v>
      </c>
      <c r="I29" s="80" t="n">
        <f aca="false">+IF(I43=0,N29,"")</f>
        <v>4.54545454545455</v>
      </c>
      <c r="J29" s="96" t="n">
        <f aca="false">+J28</f>
        <v>1</v>
      </c>
      <c r="K29" s="96" t="n">
        <f aca="false">+K28</f>
        <v>1</v>
      </c>
      <c r="L29" s="96" t="n">
        <f aca="false">+L28</f>
        <v>0</v>
      </c>
      <c r="M29" s="96" t="n">
        <f aca="false">+M28</f>
        <v>2</v>
      </c>
      <c r="N29" s="72" t="n">
        <f aca="false">+(J29*D29+C29*K29+L29*E29+M29*F29)/(J29+K29+L29+M29)</f>
        <v>4.54545454545455</v>
      </c>
      <c r="O29" s="81" t="s">
        <v>27</v>
      </c>
      <c r="P29" s="81"/>
      <c r="Q29" s="73"/>
      <c r="R29" s="73"/>
      <c r="S29" s="84"/>
      <c r="T29" s="85"/>
      <c r="U29" s="85"/>
      <c r="V29" s="85"/>
      <c r="W29" s="85"/>
    </row>
    <row r="30" customFormat="false" ht="18.45" hidden="false" customHeight="true" outlineLevel="0" collapsed="false">
      <c r="A30" s="53"/>
      <c r="B30" s="53"/>
      <c r="C30" s="82"/>
      <c r="D30" s="82"/>
      <c r="E30" s="82"/>
      <c r="F30" s="82"/>
      <c r="G30" s="82"/>
      <c r="H30" s="82"/>
      <c r="I30" s="82"/>
      <c r="J30" s="66"/>
      <c r="K30" s="66"/>
      <c r="L30" s="66"/>
      <c r="M30" s="66"/>
      <c r="N30" s="66"/>
      <c r="O30" s="73"/>
      <c r="P30" s="73"/>
      <c r="Q30" s="73"/>
      <c r="R30" s="73"/>
      <c r="S30" s="84"/>
      <c r="T30" s="85"/>
      <c r="U30" s="85"/>
      <c r="V30" s="85"/>
      <c r="W30" s="85"/>
    </row>
    <row r="31" customFormat="false" ht="18.45" hidden="false" customHeight="true" outlineLevel="0" collapsed="false">
      <c r="A31" s="3"/>
      <c r="B31" s="3"/>
      <c r="C31" s="73"/>
      <c r="D31" s="73"/>
      <c r="E31" s="73"/>
      <c r="F31" s="73"/>
      <c r="G31" s="73"/>
      <c r="H31" s="82"/>
      <c r="I31" s="82"/>
      <c r="J31" s="73"/>
      <c r="K31" s="73"/>
      <c r="L31" s="73"/>
      <c r="M31" s="73"/>
      <c r="N31" s="73"/>
      <c r="O31" s="73"/>
      <c r="P31" s="73"/>
      <c r="Q31" s="73"/>
      <c r="R31" s="73"/>
      <c r="S31" s="84"/>
      <c r="T31" s="85"/>
      <c r="U31" s="85"/>
      <c r="V31" s="85"/>
      <c r="W31" s="85"/>
    </row>
    <row r="32" customFormat="false" ht="18.45" hidden="false" customHeight="true" outlineLevel="0" collapsed="false">
      <c r="C32" s="86"/>
      <c r="D32" s="86"/>
      <c r="E32" s="86"/>
      <c r="F32" s="86"/>
      <c r="G32" s="86"/>
      <c r="H32" s="87" t="n">
        <f aca="false">+IF(B18=$B$28,1,0)</f>
        <v>0</v>
      </c>
      <c r="I32" s="87" t="n">
        <f aca="false">+IF(B18=$B$29,1,0)</f>
        <v>0</v>
      </c>
      <c r="J32" s="78"/>
      <c r="K32" s="86"/>
      <c r="L32" s="86"/>
      <c r="M32" s="86"/>
      <c r="N32" s="86"/>
      <c r="O32" s="86"/>
      <c r="P32" s="86"/>
      <c r="Q32" s="86"/>
      <c r="R32" s="86"/>
      <c r="S32" s="86"/>
    </row>
    <row r="33" customFormat="false" ht="18.45" hidden="false" customHeight="true" outlineLevel="0" collapsed="false">
      <c r="C33" s="86"/>
      <c r="D33" s="86"/>
      <c r="E33" s="86"/>
      <c r="F33" s="86"/>
      <c r="G33" s="86"/>
      <c r="H33" s="87" t="n">
        <f aca="false">+IF(B19=$B$28,1,0)</f>
        <v>0</v>
      </c>
      <c r="I33" s="87" t="n">
        <f aca="false">+IF(B19=$B$29,1,0)</f>
        <v>0</v>
      </c>
      <c r="J33" s="78"/>
      <c r="K33" s="86"/>
      <c r="L33" s="86"/>
      <c r="M33" s="86"/>
      <c r="N33" s="86"/>
      <c r="O33" s="86"/>
      <c r="P33" s="86"/>
      <c r="Q33" s="86"/>
      <c r="R33" s="86"/>
      <c r="S33" s="86"/>
    </row>
    <row r="34" customFormat="false" ht="18.45" hidden="false" customHeight="true" outlineLevel="0" collapsed="false">
      <c r="C34" s="86"/>
      <c r="D34" s="86"/>
      <c r="E34" s="86"/>
      <c r="F34" s="86"/>
      <c r="G34" s="86"/>
      <c r="H34" s="87" t="n">
        <f aca="false">+IF(B20=$B$28,1,0)</f>
        <v>0</v>
      </c>
      <c r="I34" s="87" t="n">
        <f aca="false">+IF(B20=$B$29,1,0)</f>
        <v>0</v>
      </c>
      <c r="J34" s="78"/>
      <c r="K34" s="86"/>
      <c r="L34" s="86"/>
      <c r="M34" s="86"/>
      <c r="N34" s="86"/>
      <c r="O34" s="86"/>
      <c r="P34" s="86"/>
      <c r="Q34" s="86"/>
      <c r="R34" s="86"/>
      <c r="S34" s="86"/>
    </row>
    <row r="35" customFormat="false" ht="12.8" hidden="false" customHeight="false" outlineLevel="0" collapsed="false">
      <c r="C35" s="86"/>
      <c r="D35" s="86"/>
      <c r="E35" s="86"/>
      <c r="F35" s="86"/>
      <c r="G35" s="86"/>
      <c r="H35" s="87" t="n">
        <f aca="false">+IF(B21=$B$28,1,0)</f>
        <v>0</v>
      </c>
      <c r="I35" s="87" t="n">
        <f aca="false">+IF(B21=$B$29,1,0)</f>
        <v>0</v>
      </c>
      <c r="J35" s="78"/>
      <c r="K35" s="86"/>
      <c r="L35" s="86"/>
      <c r="M35" s="86"/>
      <c r="N35" s="86"/>
      <c r="O35" s="86"/>
      <c r="P35" s="86"/>
      <c r="Q35" s="86"/>
      <c r="R35" s="86"/>
      <c r="S35" s="86"/>
    </row>
    <row r="36" customFormat="false" ht="12.8" hidden="false" customHeight="false" outlineLevel="0" collapsed="false">
      <c r="C36" s="86"/>
      <c r="D36" s="86"/>
      <c r="E36" s="86"/>
      <c r="F36" s="86"/>
      <c r="G36" s="86"/>
      <c r="H36" s="87" t="n">
        <f aca="false">+IF(B22=$B$28,1,0)</f>
        <v>0</v>
      </c>
      <c r="I36" s="87" t="n">
        <f aca="false">+IF(B22=$B$29,1,0)</f>
        <v>0</v>
      </c>
      <c r="J36" s="78"/>
      <c r="K36" s="86"/>
      <c r="L36" s="86"/>
      <c r="M36" s="86"/>
      <c r="N36" s="86"/>
      <c r="O36" s="86"/>
      <c r="P36" s="86"/>
      <c r="Q36" s="86"/>
      <c r="R36" s="86"/>
      <c r="S36" s="86"/>
    </row>
    <row r="37" customFormat="false" ht="12.8" hidden="false" customHeight="false" outlineLevel="0" collapsed="false">
      <c r="C37" s="86"/>
      <c r="D37" s="86"/>
      <c r="E37" s="86"/>
      <c r="F37" s="86"/>
      <c r="G37" s="86"/>
      <c r="H37" s="87" t="n">
        <f aca="false">+IF(B23=$B$28,1,0)</f>
        <v>0</v>
      </c>
      <c r="I37" s="87" t="n">
        <f aca="false">+IF(B23=$B$29,1,0)</f>
        <v>0</v>
      </c>
      <c r="J37" s="78"/>
      <c r="K37" s="86"/>
      <c r="L37" s="86"/>
      <c r="M37" s="86"/>
      <c r="N37" s="86"/>
      <c r="O37" s="86"/>
      <c r="P37" s="86"/>
      <c r="Q37" s="86"/>
      <c r="R37" s="86"/>
      <c r="S37" s="86"/>
    </row>
    <row r="38" customFormat="false" ht="12.8" hidden="false" customHeight="false" outlineLevel="0" collapsed="false">
      <c r="C38" s="86"/>
      <c r="D38" s="86"/>
      <c r="E38" s="86"/>
      <c r="F38" s="86"/>
      <c r="G38" s="86"/>
      <c r="H38" s="87" t="n">
        <f aca="false">+IF(B24=$B$28,1,0)</f>
        <v>0</v>
      </c>
      <c r="I38" s="87" t="n">
        <f aca="false">+IF(B24=$B$29,1,0)</f>
        <v>0</v>
      </c>
      <c r="J38" s="78"/>
      <c r="K38" s="86"/>
      <c r="L38" s="86"/>
      <c r="M38" s="86"/>
      <c r="N38" s="86"/>
      <c r="O38" s="86"/>
      <c r="P38" s="86"/>
      <c r="Q38" s="86"/>
      <c r="R38" s="86"/>
      <c r="S38" s="86"/>
    </row>
    <row r="39" customFormat="false" ht="12.8" hidden="false" customHeight="false" outlineLevel="0" collapsed="false">
      <c r="C39" s="86"/>
      <c r="D39" s="86"/>
      <c r="E39" s="86"/>
      <c r="F39" s="86"/>
      <c r="G39" s="86"/>
      <c r="H39" s="87" t="n">
        <f aca="false">+IF(B25=$B$28,1,0)</f>
        <v>0</v>
      </c>
      <c r="I39" s="87" t="n">
        <f aca="false">+IF(B25=$B$29,1,0)</f>
        <v>0</v>
      </c>
      <c r="J39" s="78"/>
      <c r="K39" s="86"/>
      <c r="L39" s="86"/>
      <c r="M39" s="86"/>
      <c r="N39" s="86"/>
      <c r="O39" s="86"/>
      <c r="P39" s="86"/>
      <c r="Q39" s="86"/>
      <c r="R39" s="86"/>
      <c r="S39" s="86"/>
    </row>
    <row r="40" customFormat="false" ht="12.8" hidden="false" customHeight="false" outlineLevel="0" collapsed="false">
      <c r="C40" s="86"/>
      <c r="D40" s="86"/>
      <c r="E40" s="86"/>
      <c r="F40" s="86"/>
      <c r="G40" s="86"/>
      <c r="H40" s="87" t="n">
        <f aca="false">+IF(B26=$B$28,1,0)</f>
        <v>0</v>
      </c>
      <c r="I40" s="87" t="n">
        <f aca="false">+IF(B26=$B$29,1,0)</f>
        <v>0</v>
      </c>
      <c r="J40" s="78"/>
      <c r="K40" s="86"/>
      <c r="L40" s="86"/>
      <c r="M40" s="86"/>
      <c r="N40" s="86"/>
      <c r="O40" s="86"/>
      <c r="P40" s="86"/>
      <c r="Q40" s="86"/>
      <c r="R40" s="86"/>
      <c r="S40" s="86"/>
    </row>
    <row r="41" customFormat="false" ht="12.8" hidden="false" customHeight="false" outlineLevel="0" collapsed="false">
      <c r="B41" s="64"/>
      <c r="C41" s="86"/>
      <c r="D41" s="86"/>
      <c r="E41" s="86"/>
      <c r="F41" s="86"/>
      <c r="G41" s="86"/>
      <c r="H41" s="87" t="n">
        <f aca="false">+IF(B27=$B$28,1,0)</f>
        <v>0</v>
      </c>
      <c r="I41" s="87" t="n">
        <f aca="false">+IF(B27=$B$29,1,0)</f>
        <v>0</v>
      </c>
      <c r="J41" s="78"/>
      <c r="K41" s="86"/>
      <c r="L41" s="86"/>
      <c r="M41" s="86"/>
      <c r="N41" s="86"/>
      <c r="O41" s="86"/>
      <c r="P41" s="86"/>
      <c r="Q41" s="86"/>
      <c r="R41" s="86"/>
      <c r="S41" s="86"/>
    </row>
    <row r="42" customFormat="false" ht="12.8" hidden="false" customHeight="false" outlineLevel="0" collapsed="false">
      <c r="C42" s="86"/>
      <c r="D42" s="86"/>
      <c r="E42" s="86"/>
      <c r="F42" s="86"/>
      <c r="G42" s="86"/>
      <c r="H42" s="78"/>
      <c r="I42" s="78"/>
      <c r="J42" s="78"/>
      <c r="K42" s="86"/>
      <c r="L42" s="86"/>
      <c r="M42" s="86"/>
      <c r="N42" s="86"/>
      <c r="O42" s="86"/>
      <c r="P42" s="86"/>
      <c r="Q42" s="86"/>
      <c r="R42" s="86"/>
      <c r="S42" s="86"/>
    </row>
    <row r="43" customFormat="false" ht="12.8" hidden="false" customHeight="false" outlineLevel="0" collapsed="false">
      <c r="H43" s="56" t="n">
        <f aca="false">SUM(H32:H42)</f>
        <v>0</v>
      </c>
      <c r="I43" s="56" t="n">
        <f aca="false">SUM(I32:I42)</f>
        <v>0</v>
      </c>
      <c r="J43" s="56"/>
    </row>
    <row r="44" customFormat="false" ht="12.8" hidden="false" customHeight="false" outlineLevel="0" collapsed="false">
      <c r="H44" s="56"/>
      <c r="I44" s="56"/>
      <c r="J44" s="56"/>
    </row>
    <row r="45" customFormat="false" ht="12.8" hidden="false" customHeight="false" outlineLevel="0" collapsed="false">
      <c r="H45" s="56"/>
      <c r="I45" s="56"/>
      <c r="J45" s="56"/>
    </row>
    <row r="46" customFormat="false" ht="12.8" hidden="false" customHeight="false" outlineLevel="0" collapsed="false">
      <c r="H46" s="56"/>
      <c r="I46" s="56"/>
      <c r="J46" s="56"/>
    </row>
    <row r="47" customFormat="false" ht="12.8" hidden="false" customHeight="false" outlineLevel="0" collapsed="false">
      <c r="H47" s="56"/>
      <c r="I47" s="56"/>
      <c r="J47" s="56"/>
    </row>
    <row r="62" customFormat="false" ht="12.8" hidden="false" customHeight="false" outlineLevel="0" collapsed="false">
      <c r="G62" s="88"/>
    </row>
    <row r="71" customFormat="false" ht="12.8" hidden="false" customHeight="false" outlineLevel="0" collapsed="false">
      <c r="B71" s="89"/>
      <c r="C71" s="89"/>
      <c r="D71" s="89"/>
      <c r="E71" s="89"/>
      <c r="F71" s="89"/>
      <c r="G71" s="89"/>
      <c r="H71" s="89"/>
      <c r="I71" s="89"/>
      <c r="J71" s="89"/>
      <c r="K71" s="89"/>
    </row>
  </sheetData>
  <sheetProtection sheet="true" objects="true" scenarios="true" selectLockedCells="true"/>
  <conditionalFormatting sqref="B4:C14 B18:F20 H17:H27 J4:K15 N18:N29 I18:I27">
    <cfRule type="cellIs" priority="2" operator="equal" aboveAverage="0" equalAverage="0" bottom="0" percent="0" rank="0" text="" dxfId="0">
      <formula>0</formula>
    </cfRule>
  </conditionalFormatting>
  <conditionalFormatting sqref="A28:G29 D3 A21:F29">
    <cfRule type="cellIs" priority="3" operator="equal" aboveAverage="0" equalAverage="0" bottom="0" percent="0" rank="0" text="" dxfId="1">
      <formula>0</formula>
    </cfRule>
  </conditionalFormatting>
  <conditionalFormatting sqref="H28:I28">
    <cfRule type="cellIs" priority="4" operator="equal" aboveAverage="0" equalAverage="0" bottom="0" percent="0" rank="0" text="" dxfId="2">
      <formula>0</formula>
    </cfRule>
  </conditionalFormatting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1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W7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8" activeCellId="0" sqref="C8"/>
    </sheetView>
  </sheetViews>
  <sheetFormatPr defaultRowHeight="12.85" zeroHeight="false" outlineLevelRow="0" outlineLevelCol="0"/>
  <cols>
    <col collapsed="false" customWidth="true" hidden="false" outlineLevel="0" max="1" min="1" style="0" width="4.07"/>
    <col collapsed="false" customWidth="true" hidden="false" outlineLevel="0" max="2" min="2" style="0" width="14.16"/>
    <col collapsed="false" customWidth="true" hidden="false" outlineLevel="0" max="3" min="3" style="0" width="13.43"/>
    <col collapsed="false" customWidth="true" hidden="false" outlineLevel="0" max="4" min="4" style="0" width="13.02"/>
    <col collapsed="false" customWidth="true" hidden="false" outlineLevel="0" max="5" min="5" style="0" width="13.43"/>
    <col collapsed="false" customWidth="true" hidden="false" outlineLevel="0" max="6" min="6" style="0" width="12.31"/>
    <col collapsed="false" customWidth="true" hidden="false" outlineLevel="0" max="7" min="7" style="0" width="12.88"/>
    <col collapsed="false" customWidth="true" hidden="false" outlineLevel="0" max="10" min="10" style="0" width="10.77"/>
    <col collapsed="false" customWidth="true" hidden="false" outlineLevel="0" max="11" min="11" style="0" width="9.91"/>
    <col collapsed="false" customWidth="true" hidden="false" outlineLevel="0" max="12" min="12" style="0" width="10.19"/>
    <col collapsed="false" customWidth="true" hidden="false" outlineLevel="0" max="13" min="13" style="0" width="12.37"/>
    <col collapsed="false" customWidth="true" hidden="false" outlineLevel="0" max="14" min="14" style="0" width="12.44"/>
    <col collapsed="false" customWidth="true" hidden="false" outlineLevel="0" max="17" min="17" style="0" width="5.2"/>
    <col collapsed="false" customWidth="true" hidden="false" outlineLevel="0" max="18" min="18" style="0" width="5.55"/>
  </cols>
  <sheetData>
    <row r="1" customFormat="false" ht="84.85" hidden="false" customHeight="true" outlineLevel="0" collapsed="false">
      <c r="B1" s="1"/>
      <c r="C1" s="1"/>
      <c r="D1" s="1"/>
      <c r="E1" s="1"/>
      <c r="F1" s="1"/>
      <c r="G1" s="1"/>
      <c r="H1" s="1"/>
      <c r="I1" s="1"/>
      <c r="J1" s="1"/>
      <c r="K1" s="2"/>
      <c r="Q1" s="3"/>
      <c r="R1" s="3"/>
    </row>
    <row r="2" customFormat="false" ht="127.65" hidden="false" customHeight="true" outlineLevel="0" collapsed="false">
      <c r="A2" s="3"/>
      <c r="B2" s="4"/>
      <c r="C2" s="4"/>
      <c r="D2" s="4"/>
      <c r="E2" s="4"/>
      <c r="F2" s="4"/>
      <c r="G2" s="4"/>
      <c r="H2" s="4"/>
      <c r="I2" s="4"/>
      <c r="J2" s="4"/>
      <c r="K2" s="5"/>
      <c r="L2" s="3"/>
      <c r="M2" s="3"/>
      <c r="N2" s="3"/>
      <c r="O2" s="3"/>
      <c r="P2" s="3"/>
      <c r="Q2" s="3"/>
      <c r="R2" s="3"/>
      <c r="T2" s="6"/>
    </row>
    <row r="3" customFormat="false" ht="24.6" hidden="false" customHeight="true" outlineLevel="0" collapsed="false">
      <c r="A3" s="3"/>
      <c r="B3" s="7" t="s">
        <v>0</v>
      </c>
      <c r="C3" s="8" t="n">
        <v>44824</v>
      </c>
      <c r="D3" s="9"/>
      <c r="E3" s="10" t="s">
        <v>2</v>
      </c>
      <c r="F3" s="11" t="s">
        <v>14</v>
      </c>
      <c r="G3" s="12" t="s">
        <v>29</v>
      </c>
      <c r="H3" s="10"/>
      <c r="I3" s="13"/>
      <c r="J3" s="97" t="s">
        <v>5</v>
      </c>
      <c r="K3" s="98" t="s">
        <v>32</v>
      </c>
      <c r="L3" s="3"/>
      <c r="M3" s="17" t="s">
        <v>7</v>
      </c>
      <c r="N3" s="3"/>
      <c r="O3" s="3"/>
      <c r="P3" s="3"/>
      <c r="Q3" s="18" t="s">
        <v>8</v>
      </c>
      <c r="R3" s="3"/>
    </row>
    <row r="4" customFormat="false" ht="30.55" hidden="false" customHeight="true" outlineLevel="0" collapsed="false">
      <c r="A4" s="3"/>
      <c r="B4" s="19" t="s">
        <v>33</v>
      </c>
      <c r="C4" s="20" t="n">
        <v>44</v>
      </c>
      <c r="D4" s="3"/>
      <c r="E4" s="3"/>
      <c r="F4" s="91" t="n">
        <v>33</v>
      </c>
      <c r="G4" s="92" t="n">
        <v>20</v>
      </c>
      <c r="H4" s="23" t="s">
        <v>9</v>
      </c>
      <c r="I4" s="23"/>
      <c r="J4" s="24" t="str">
        <f aca="false">+B4</f>
        <v>Feldspath</v>
      </c>
      <c r="K4" s="25" t="n">
        <f aca="false">+C4/$C$15*20</f>
        <v>8.8</v>
      </c>
      <c r="L4" s="3"/>
      <c r="M4" s="50" t="str">
        <f aca="false">+F3</f>
        <v>silice</v>
      </c>
      <c r="N4" s="3"/>
      <c r="O4" s="3"/>
      <c r="P4" s="3"/>
      <c r="Q4" s="18" t="str">
        <f aca="false">+F3</f>
        <v>silice</v>
      </c>
      <c r="R4" s="3"/>
    </row>
    <row r="5" customFormat="false" ht="18.55" hidden="false" customHeight="false" outlineLevel="0" collapsed="false">
      <c r="A5" s="3"/>
      <c r="B5" s="19" t="s">
        <v>14</v>
      </c>
      <c r="C5" s="20" t="n">
        <v>18</v>
      </c>
      <c r="D5" s="3"/>
      <c r="E5" s="28" t="s">
        <v>10</v>
      </c>
      <c r="F5" s="3"/>
      <c r="G5" s="29"/>
      <c r="H5" s="3"/>
      <c r="I5" s="3"/>
      <c r="J5" s="24" t="str">
        <f aca="false">+B5</f>
        <v>silice</v>
      </c>
      <c r="K5" s="25" t="n">
        <f aca="false">+C5/$C$15*20</f>
        <v>3.6</v>
      </c>
      <c r="L5" s="3"/>
      <c r="M5" s="93"/>
      <c r="N5" s="3"/>
      <c r="O5" s="3"/>
      <c r="P5" s="3"/>
      <c r="Q5" s="99" t="str">
        <f aca="false">+G3</f>
        <v>gertsley</v>
      </c>
      <c r="R5" s="3"/>
    </row>
    <row r="6" customFormat="false" ht="15" hidden="false" customHeight="false" outlineLevel="0" collapsed="false">
      <c r="A6" s="3"/>
      <c r="B6" s="19" t="s">
        <v>30</v>
      </c>
      <c r="C6" s="20" t="n">
        <v>4</v>
      </c>
      <c r="D6" s="3"/>
      <c r="E6" s="32" t="s">
        <v>12</v>
      </c>
      <c r="F6" s="33" t="n">
        <f aca="false">+F4*0.05</f>
        <v>1.65</v>
      </c>
      <c r="G6" s="34" t="str">
        <f aca="false">+F3</f>
        <v>silice</v>
      </c>
      <c r="H6" s="3" t="s">
        <v>13</v>
      </c>
      <c r="I6" s="3"/>
      <c r="J6" s="24" t="str">
        <f aca="false">+B6</f>
        <v>kaolin</v>
      </c>
      <c r="K6" s="25" t="n">
        <f aca="false">+C6/$C$15*20</f>
        <v>0.8</v>
      </c>
      <c r="L6" s="3"/>
      <c r="M6" s="35"/>
      <c r="N6" s="3"/>
      <c r="O6" s="3"/>
      <c r="P6" s="3"/>
      <c r="Q6" s="3"/>
      <c r="R6" s="3"/>
    </row>
    <row r="7" customFormat="false" ht="15" hidden="false" customHeight="false" outlineLevel="0" collapsed="false">
      <c r="A7" s="3"/>
      <c r="B7" s="19" t="s">
        <v>29</v>
      </c>
      <c r="C7" s="20" t="n">
        <v>27</v>
      </c>
      <c r="D7" s="3"/>
      <c r="E7" s="3"/>
      <c r="F7" s="36" t="n">
        <f aca="false">+F6*1.6</f>
        <v>2.64</v>
      </c>
      <c r="G7" s="37" t="s">
        <v>15</v>
      </c>
      <c r="H7" s="3" t="s">
        <v>16</v>
      </c>
      <c r="I7" s="3"/>
      <c r="J7" s="24" t="str">
        <f aca="false">+B7</f>
        <v>gertsley</v>
      </c>
      <c r="K7" s="25" t="n">
        <f aca="false">+C7/$C$15*20</f>
        <v>5.4</v>
      </c>
      <c r="L7" s="3"/>
      <c r="M7" s="3"/>
      <c r="N7" s="3"/>
      <c r="O7" s="3"/>
      <c r="P7" s="3"/>
      <c r="Q7" s="3"/>
      <c r="R7" s="3"/>
    </row>
    <row r="8" customFormat="false" ht="15" hidden="false" customHeight="false" outlineLevel="0" collapsed="false">
      <c r="A8" s="3"/>
      <c r="B8" s="19" t="s">
        <v>34</v>
      </c>
      <c r="C8" s="20" t="n">
        <v>4</v>
      </c>
      <c r="D8" s="3"/>
      <c r="E8" s="32" t="s">
        <v>18</v>
      </c>
      <c r="F8" s="33" t="n">
        <f aca="false">+G4*0.05</f>
        <v>1</v>
      </c>
      <c r="G8" s="34" t="str">
        <f aca="false">+G3</f>
        <v>gertsley</v>
      </c>
      <c r="H8" s="3" t="s">
        <v>6</v>
      </c>
      <c r="I8" s="3"/>
      <c r="J8" s="24" t="str">
        <f aca="false">+B8</f>
        <v>titane </v>
      </c>
      <c r="K8" s="25" t="n">
        <f aca="false">+C8/$C$15*20</f>
        <v>0.8</v>
      </c>
      <c r="L8" s="3"/>
      <c r="M8" s="3"/>
      <c r="N8" s="3"/>
      <c r="O8" s="3"/>
      <c r="P8" s="3"/>
      <c r="Q8" s="3"/>
      <c r="R8" s="3"/>
    </row>
    <row r="9" customFormat="false" ht="15" hidden="false" customHeight="false" outlineLevel="0" collapsed="false">
      <c r="A9" s="3"/>
      <c r="B9" s="19" t="s">
        <v>35</v>
      </c>
      <c r="C9" s="20" t="n">
        <v>2</v>
      </c>
      <c r="D9" s="3"/>
      <c r="E9" s="3"/>
      <c r="F9" s="36" t="n">
        <f aca="false">+F8*1.6</f>
        <v>1.6</v>
      </c>
      <c r="G9" s="37" t="s">
        <v>15</v>
      </c>
      <c r="H9" s="3" t="s">
        <v>19</v>
      </c>
      <c r="I9" s="3"/>
      <c r="J9" s="24" t="str">
        <f aca="false">+B9</f>
        <v>fer</v>
      </c>
      <c r="K9" s="25" t="n">
        <f aca="false">+C9/$C$15*20</f>
        <v>0.4</v>
      </c>
      <c r="L9" s="3"/>
      <c r="M9" s="3"/>
      <c r="N9" s="3"/>
      <c r="O9" s="3"/>
      <c r="P9" s="3"/>
      <c r="Q9" s="3"/>
      <c r="R9" s="3"/>
    </row>
    <row r="10" customFormat="false" ht="15" hidden="false" customHeight="false" outlineLevel="0" collapsed="false">
      <c r="A10" s="3"/>
      <c r="B10" s="19" t="s">
        <v>36</v>
      </c>
      <c r="C10" s="20" t="n">
        <v>1</v>
      </c>
      <c r="D10" s="3"/>
      <c r="E10" s="38" t="s">
        <v>20</v>
      </c>
      <c r="F10" s="39" t="n">
        <f aca="false">+F6</f>
        <v>1.65</v>
      </c>
      <c r="G10" s="40" t="str">
        <f aca="false">+G6</f>
        <v>silice</v>
      </c>
      <c r="H10" s="3" t="s">
        <v>6</v>
      </c>
      <c r="I10" s="3"/>
      <c r="J10" s="24" t="str">
        <f aca="false">+B10</f>
        <v>cobalt</v>
      </c>
      <c r="K10" s="25" t="n">
        <f aca="false">+C10/$C$15*20</f>
        <v>0.2</v>
      </c>
      <c r="L10" s="3"/>
      <c r="M10" s="3"/>
      <c r="N10" s="3"/>
      <c r="O10" s="3"/>
      <c r="P10" s="3"/>
      <c r="Q10" s="3"/>
      <c r="R10" s="41"/>
    </row>
    <row r="11" customFormat="false" ht="15" hidden="false" customHeight="false" outlineLevel="0" collapsed="false">
      <c r="A11" s="3"/>
      <c r="B11" s="19"/>
      <c r="C11" s="20" t="n">
        <v>0</v>
      </c>
      <c r="D11" s="3"/>
      <c r="E11" s="3"/>
      <c r="F11" s="42" t="n">
        <f aca="false">+F8</f>
        <v>1</v>
      </c>
      <c r="G11" s="37" t="str">
        <f aca="false">+G8</f>
        <v>gertsley</v>
      </c>
      <c r="H11" s="3" t="s">
        <v>6</v>
      </c>
      <c r="I11" s="3"/>
      <c r="J11" s="24" t="n">
        <f aca="false">+B11</f>
        <v>0</v>
      </c>
      <c r="K11" s="25" t="n">
        <f aca="false">+C11/$C$15*20</f>
        <v>0</v>
      </c>
      <c r="L11" s="3"/>
      <c r="M11" s="3"/>
      <c r="N11" s="3"/>
      <c r="O11" s="3"/>
      <c r="P11" s="3"/>
      <c r="Q11" s="3"/>
      <c r="R11" s="3"/>
    </row>
    <row r="12" customFormat="false" ht="15" hidden="false" customHeight="false" outlineLevel="0" collapsed="false">
      <c r="A12" s="3"/>
      <c r="B12" s="19"/>
      <c r="C12" s="20" t="n">
        <v>0</v>
      </c>
      <c r="D12" s="3"/>
      <c r="E12" s="3"/>
      <c r="F12" s="36" t="n">
        <f aca="false">+(F11+F10)*1.6</f>
        <v>4.24</v>
      </c>
      <c r="G12" s="37" t="s">
        <v>15</v>
      </c>
      <c r="H12" s="3" t="s">
        <v>19</v>
      </c>
      <c r="I12" s="3"/>
      <c r="J12" s="24" t="n">
        <f aca="false">+B12</f>
        <v>0</v>
      </c>
      <c r="K12" s="25" t="n">
        <f aca="false">+C12/$C$15*20</f>
        <v>0</v>
      </c>
      <c r="L12" s="3"/>
      <c r="M12" s="3"/>
      <c r="N12" s="3"/>
      <c r="O12" s="3"/>
      <c r="P12" s="3"/>
      <c r="Q12" s="3"/>
      <c r="R12" s="3"/>
    </row>
    <row r="13" customFormat="false" ht="15" hidden="false" customHeight="false" outlineLevel="0" collapsed="false">
      <c r="A13" s="3"/>
      <c r="B13" s="19"/>
      <c r="C13" s="20" t="n">
        <v>0</v>
      </c>
      <c r="D13" s="3"/>
      <c r="E13" s="3"/>
      <c r="F13" s="3"/>
      <c r="G13" s="29"/>
      <c r="H13" s="3"/>
      <c r="I13" s="3"/>
      <c r="J13" s="24" t="n">
        <f aca="false">+B13</f>
        <v>0</v>
      </c>
      <c r="K13" s="25" t="n">
        <f aca="false">+C13/$C$15*20</f>
        <v>0</v>
      </c>
      <c r="L13" s="3"/>
      <c r="M13" s="3"/>
      <c r="N13" s="3"/>
      <c r="O13" s="3"/>
      <c r="P13" s="3"/>
      <c r="Q13" s="3"/>
      <c r="R13" s="3"/>
    </row>
    <row r="14" customFormat="false" ht="14.15" hidden="false" customHeight="false" outlineLevel="0" collapsed="false">
      <c r="A14" s="3"/>
      <c r="B14" s="43"/>
      <c r="C14" s="44" t="n">
        <v>0</v>
      </c>
      <c r="D14" s="3"/>
      <c r="E14" s="3"/>
      <c r="F14" s="3"/>
      <c r="G14" s="29"/>
      <c r="H14" s="3"/>
      <c r="I14" s="3"/>
      <c r="J14" s="24" t="n">
        <f aca="false">+B14</f>
        <v>0</v>
      </c>
      <c r="K14" s="25" t="n">
        <f aca="false">+C14/$C$15*20</f>
        <v>0</v>
      </c>
      <c r="L14" s="3"/>
      <c r="M14" s="45" t="str">
        <f aca="false">+B3</f>
        <v>Blanc</v>
      </c>
      <c r="N14" s="3"/>
      <c r="O14" s="3"/>
      <c r="P14" s="3"/>
      <c r="Q14" s="18" t="str">
        <f aca="false">+G3</f>
        <v>gertsley</v>
      </c>
      <c r="R14" s="3"/>
    </row>
    <row r="15" s="52" customFormat="true" ht="18.55" hidden="false" customHeight="false" outlineLevel="0" collapsed="false">
      <c r="A15" s="46"/>
      <c r="B15" s="47" t="s">
        <v>21</v>
      </c>
      <c r="C15" s="47" t="n">
        <f aca="false">SUM(C4:C14)</f>
        <v>100</v>
      </c>
      <c r="D15" s="46"/>
      <c r="E15" s="46"/>
      <c r="F15" s="46"/>
      <c r="G15" s="46"/>
      <c r="H15" s="46"/>
      <c r="I15" s="46"/>
      <c r="J15" s="48" t="s">
        <v>22</v>
      </c>
      <c r="K15" s="49" t="n">
        <v>32</v>
      </c>
      <c r="L15" s="46"/>
      <c r="M15" s="50" t="s">
        <v>24</v>
      </c>
      <c r="N15" s="46"/>
      <c r="O15" s="17"/>
      <c r="P15" s="50" t="s">
        <v>25</v>
      </c>
      <c r="Q15" s="46"/>
      <c r="R15" s="46"/>
    </row>
    <row r="16" customFormat="false" ht="36.35" hidden="false" customHeight="true" outlineLevel="0" collapsed="false">
      <c r="A16" s="53"/>
      <c r="B16" s="53"/>
      <c r="C16" s="53"/>
      <c r="D16" s="53"/>
      <c r="E16" s="53"/>
      <c r="F16" s="53"/>
      <c r="G16" s="5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55"/>
      <c r="T16" s="56"/>
      <c r="U16" s="56"/>
      <c r="V16" s="56"/>
      <c r="W16" s="56"/>
    </row>
    <row r="17" s="64" customFormat="true" ht="18.45" hidden="false" customHeight="true" outlineLevel="0" collapsed="false">
      <c r="A17" s="95"/>
      <c r="B17" s="94"/>
      <c r="C17" s="100" t="s">
        <v>24</v>
      </c>
      <c r="D17" s="100" t="s">
        <v>7</v>
      </c>
      <c r="E17" s="100" t="s">
        <v>25</v>
      </c>
      <c r="F17" s="100" t="s">
        <v>8</v>
      </c>
      <c r="G17" s="100"/>
      <c r="H17" s="101" t="s">
        <v>26</v>
      </c>
      <c r="I17" s="102" t="str">
        <f aca="false">+W17</f>
        <v>1B</v>
      </c>
      <c r="J17" s="103" t="s">
        <v>7</v>
      </c>
      <c r="K17" s="104" t="s">
        <v>24</v>
      </c>
      <c r="L17" s="104" t="s">
        <v>25</v>
      </c>
      <c r="M17" s="105" t="s">
        <v>8</v>
      </c>
      <c r="N17" s="29"/>
      <c r="O17" s="29"/>
      <c r="P17" s="29"/>
      <c r="Q17" s="29"/>
      <c r="R17" s="29"/>
      <c r="S17" s="63" t="str">
        <f aca="false">CONCATENATE(IF(J18=1,"1A",""),IF(J18=2,"2A",""),IF(J18=3,"3A",""),IF(J18=4,"4A",""))</f>
        <v/>
      </c>
      <c r="T17" s="63" t="str">
        <f aca="false">CONCATENATE(IF(K18=1,"1B",""),IF(K18=2,"2B",""),IF(K18=3,"3B",""),IF(K18=4,"4B",""))</f>
        <v>1B</v>
      </c>
      <c r="U17" s="63" t="str">
        <f aca="false">CONCATENATE(IF(L18=1,"1C",""),IF(L18=2,"2C",""),IF(L18=3,"3C",""),IF(L18=4,"4C",""))</f>
        <v/>
      </c>
      <c r="V17" s="63" t="str">
        <f aca="false">CONCATENATE(IF(M18=1,"1D",""),IF(M18=2,"2D",""),IF(M18=3,"3D",""),IF(M18=4,"4D",""))</f>
        <v/>
      </c>
      <c r="W17" s="63" t="str">
        <f aca="false">CONCATENATE(S17,T17,U17,V17)</f>
        <v>1B</v>
      </c>
    </row>
    <row r="18" customFormat="false" ht="18.45" hidden="false" customHeight="true" outlineLevel="0" collapsed="false">
      <c r="A18" s="53"/>
      <c r="B18" s="106" t="str">
        <f aca="false">+B4</f>
        <v>Feldspath</v>
      </c>
      <c r="C18" s="107" t="n">
        <f aca="false">+C4/C15*100</f>
        <v>44</v>
      </c>
      <c r="D18" s="107" t="n">
        <f aca="false">+C18/(100+F4)*100</f>
        <v>33.0827067669173</v>
      </c>
      <c r="E18" s="107" t="n">
        <f aca="false">+C18/(100+G4)*100</f>
        <v>36.6666666666667</v>
      </c>
      <c r="F18" s="107" t="n">
        <f aca="false">+C18/(F4+G4+100)*100</f>
        <v>28.7581699346405</v>
      </c>
      <c r="G18" s="107" t="n">
        <f aca="false">IFERROR(INDEX($N$28:$N$29,MATCH(B18,$B$28:$B$29,0),1),0)</f>
        <v>0</v>
      </c>
      <c r="H18" s="67" t="str">
        <f aca="false">+B18</f>
        <v>Feldspath</v>
      </c>
      <c r="I18" s="68" t="n">
        <f aca="false">+N18+N28*(H32+I32)</f>
        <v>44</v>
      </c>
      <c r="J18" s="69" t="n">
        <v>0</v>
      </c>
      <c r="K18" s="70" t="n">
        <v>1</v>
      </c>
      <c r="L18" s="70" t="n">
        <v>0</v>
      </c>
      <c r="M18" s="71" t="n">
        <v>0</v>
      </c>
      <c r="N18" s="72" t="n">
        <f aca="false">+(J18*D18+C18*K18+L18*E18+M18*F18)/(J18+K18+L18+M18)</f>
        <v>44</v>
      </c>
      <c r="O18" s="73"/>
      <c r="P18" s="73"/>
      <c r="Q18" s="73"/>
      <c r="R18" s="73"/>
      <c r="S18" s="56" t="n">
        <f aca="false">+(J18*D18+K18*C18+L18*E18+M18*F18)/(J18+K18+L18+M18)+IFERROR(VLOOKUP(H18,$H$28:$I$29,2,0),0)</f>
        <v>44</v>
      </c>
      <c r="T18" s="56"/>
      <c r="U18" s="56"/>
      <c r="V18" s="56"/>
      <c r="W18" s="56"/>
    </row>
    <row r="19" customFormat="false" ht="18.45" hidden="false" customHeight="true" outlineLevel="0" collapsed="false">
      <c r="A19" s="53"/>
      <c r="B19" s="106" t="str">
        <f aca="false">+B5</f>
        <v>silice</v>
      </c>
      <c r="C19" s="107" t="n">
        <f aca="false">+C5/C15*100</f>
        <v>18</v>
      </c>
      <c r="D19" s="107" t="n">
        <f aca="false">+C19/(100+F4)*100</f>
        <v>13.5338345864662</v>
      </c>
      <c r="E19" s="107" t="n">
        <f aca="false">+C19/(100+G4)*100</f>
        <v>15</v>
      </c>
      <c r="F19" s="107" t="n">
        <f aca="false">+C19/(F4+G4+100)*100</f>
        <v>11.7647058823529</v>
      </c>
      <c r="G19" s="107" t="n">
        <f aca="false">IFERROR(INDEX($N$28:$N$29,MATCH(B19,$B$28:$B$29,0),1),0)</f>
        <v>0</v>
      </c>
      <c r="H19" s="67" t="str">
        <f aca="false">+B19</f>
        <v>silice</v>
      </c>
      <c r="I19" s="68" t="n">
        <f aca="false">+N19+N29*(H33+I33)</f>
        <v>18</v>
      </c>
      <c r="J19" s="108" t="n">
        <f aca="false">+J18</f>
        <v>0</v>
      </c>
      <c r="K19" s="108" t="n">
        <f aca="false">+K18</f>
        <v>1</v>
      </c>
      <c r="L19" s="108" t="n">
        <f aca="false">+L18</f>
        <v>0</v>
      </c>
      <c r="M19" s="108" t="n">
        <f aca="false">+M18</f>
        <v>0</v>
      </c>
      <c r="N19" s="72" t="n">
        <f aca="false">+(J19*D19+C19*K19+L19*E19+M19*F19)/(J19+K19+L19+M19)</f>
        <v>18</v>
      </c>
      <c r="O19" s="73"/>
      <c r="P19" s="73"/>
      <c r="Q19" s="73"/>
      <c r="R19" s="73"/>
      <c r="S19" s="56" t="n">
        <f aca="false">+(J19*D19+K19*C19+L19*E19+M19*F19)/(J19+K19+L19+M19)+IFERROR(VLOOKUP(H19,$H$28:$I$29,2,0),0)</f>
        <v>18</v>
      </c>
      <c r="T19" s="56"/>
      <c r="U19" s="56"/>
      <c r="V19" s="56"/>
      <c r="W19" s="56"/>
    </row>
    <row r="20" customFormat="false" ht="18.45" hidden="false" customHeight="true" outlineLevel="0" collapsed="false">
      <c r="A20" s="53"/>
      <c r="B20" s="106" t="str">
        <f aca="false">+B6</f>
        <v>kaolin</v>
      </c>
      <c r="C20" s="107" t="n">
        <f aca="false">+C6/C15*100</f>
        <v>4</v>
      </c>
      <c r="D20" s="107" t="n">
        <f aca="false">+C20/(100+F4)*100</f>
        <v>3.00751879699248</v>
      </c>
      <c r="E20" s="107" t="n">
        <f aca="false">+C20/(100+G4)*100</f>
        <v>3.33333333333333</v>
      </c>
      <c r="F20" s="107" t="n">
        <f aca="false">+C20/(F4+G4+100)*100</f>
        <v>2.61437908496732</v>
      </c>
      <c r="G20" s="107" t="n">
        <f aca="false">IFERROR(INDEX($N$28:$N$29,MATCH(B20,$B$28:$B$29,0),1),0)</f>
        <v>0</v>
      </c>
      <c r="H20" s="67" t="str">
        <f aca="false">+B20</f>
        <v>kaolin</v>
      </c>
      <c r="I20" s="68" t="n">
        <f aca="false">+N20+N30*(H34+I34)</f>
        <v>4</v>
      </c>
      <c r="J20" s="108" t="n">
        <f aca="false">+J19</f>
        <v>0</v>
      </c>
      <c r="K20" s="108" t="n">
        <f aca="false">+K19</f>
        <v>1</v>
      </c>
      <c r="L20" s="108" t="n">
        <f aca="false">+L19</f>
        <v>0</v>
      </c>
      <c r="M20" s="108" t="n">
        <f aca="false">+M19</f>
        <v>0</v>
      </c>
      <c r="N20" s="72" t="n">
        <f aca="false">+(J20*D20+C20*K20+L20*E20+M20*F20)/(J20+K20+L20+M20)</f>
        <v>4</v>
      </c>
      <c r="O20" s="73"/>
      <c r="P20" s="73"/>
      <c r="Q20" s="73"/>
      <c r="R20" s="73"/>
      <c r="S20" s="56" t="n">
        <f aca="false">+(J20*D20+K20*C20+L20*E20+M20*F20)/(J20+K20+L20+M20)+IFERROR(VLOOKUP(H20,$H$28:$I$29,2,0),0)</f>
        <v>4</v>
      </c>
      <c r="T20" s="56"/>
      <c r="U20" s="56"/>
      <c r="V20" s="56"/>
      <c r="W20" s="56"/>
    </row>
    <row r="21" customFormat="false" ht="18.45" hidden="false" customHeight="true" outlineLevel="0" collapsed="false">
      <c r="A21" s="53"/>
      <c r="B21" s="106" t="str">
        <f aca="false">+B7</f>
        <v>gertsley</v>
      </c>
      <c r="C21" s="107" t="n">
        <f aca="false">+C7/C15*100</f>
        <v>27</v>
      </c>
      <c r="D21" s="107" t="n">
        <f aca="false">+C21/(100+F4)*100</f>
        <v>20.3007518796992</v>
      </c>
      <c r="E21" s="107" t="n">
        <f aca="false">+C21/(100+G4)*100</f>
        <v>22.5</v>
      </c>
      <c r="F21" s="107" t="n">
        <f aca="false">+C21/(F4+G4+100)*100</f>
        <v>17.6470588235294</v>
      </c>
      <c r="G21" s="107" t="n">
        <f aca="false">IFERROR(INDEX($N$28:$N$29,MATCH(B21,$B$28:$B$29,0),1),0)</f>
        <v>0</v>
      </c>
      <c r="H21" s="67" t="str">
        <f aca="false">+B21</f>
        <v>gertsley</v>
      </c>
      <c r="I21" s="68" t="n">
        <f aca="false">+N21+N31*(H35+I35)</f>
        <v>27</v>
      </c>
      <c r="J21" s="108" t="n">
        <f aca="false">+J20</f>
        <v>0</v>
      </c>
      <c r="K21" s="108" t="n">
        <f aca="false">+K20</f>
        <v>1</v>
      </c>
      <c r="L21" s="108" t="n">
        <f aca="false">+L20</f>
        <v>0</v>
      </c>
      <c r="M21" s="108" t="n">
        <f aca="false">+M20</f>
        <v>0</v>
      </c>
      <c r="N21" s="72" t="n">
        <f aca="false">+(J21*D21+C21*K21+L21*E21+M21*F21)/(J21+K21+L21+M21)</f>
        <v>27</v>
      </c>
      <c r="O21" s="73"/>
      <c r="P21" s="73"/>
      <c r="Q21" s="73"/>
      <c r="R21" s="73"/>
      <c r="S21" s="56" t="n">
        <f aca="false">+(J21*D21+K21*C21+L21*E21+M21*F21)/(J21+K21+L21+M21)+IFERROR(VLOOKUP(H21,$H$28:$I$29,2,0),0)</f>
        <v>27</v>
      </c>
      <c r="T21" s="56"/>
      <c r="U21" s="56"/>
      <c r="V21" s="56"/>
      <c r="W21" s="56"/>
    </row>
    <row r="22" customFormat="false" ht="18.45" hidden="false" customHeight="true" outlineLevel="0" collapsed="false">
      <c r="A22" s="53"/>
      <c r="B22" s="106" t="str">
        <f aca="false">+B8</f>
        <v>titane </v>
      </c>
      <c r="C22" s="107" t="n">
        <f aca="false">+C8/C15*100</f>
        <v>4</v>
      </c>
      <c r="D22" s="107" t="n">
        <f aca="false">+C22/(100+F4)*100</f>
        <v>3.00751879699248</v>
      </c>
      <c r="E22" s="107" t="n">
        <f aca="false">+C22/(100+G4)*100</f>
        <v>3.33333333333333</v>
      </c>
      <c r="F22" s="107" t="n">
        <f aca="false">+C22/(F4+G4+100)*100</f>
        <v>2.61437908496732</v>
      </c>
      <c r="G22" s="107" t="n">
        <f aca="false">IFERROR(INDEX($N$28:$N$29,MATCH(B22,$B$28:$B$29,0),1),0)</f>
        <v>0</v>
      </c>
      <c r="H22" s="67" t="str">
        <f aca="false">+B22</f>
        <v>titane </v>
      </c>
      <c r="I22" s="68" t="n">
        <f aca="false">+N22+N32*(H36+I36)</f>
        <v>4</v>
      </c>
      <c r="J22" s="108" t="n">
        <f aca="false">+J21</f>
        <v>0</v>
      </c>
      <c r="K22" s="108" t="n">
        <f aca="false">+K21</f>
        <v>1</v>
      </c>
      <c r="L22" s="108" t="n">
        <f aca="false">+L21</f>
        <v>0</v>
      </c>
      <c r="M22" s="108" t="n">
        <f aca="false">+M21</f>
        <v>0</v>
      </c>
      <c r="N22" s="72" t="n">
        <f aca="false">+(J22*D22+C22*K22+L22*E22+M22*F22)/(J22+K22+L22+M22)</f>
        <v>4</v>
      </c>
      <c r="O22" s="73"/>
      <c r="P22" s="73"/>
      <c r="Q22" s="73"/>
      <c r="R22" s="73"/>
      <c r="S22" s="56" t="n">
        <f aca="false">+(J22*D22+K22*C22+L22*E22+M22*F22)/(J22+K22+L22+M22)+IFERROR(VLOOKUP(H22,$H$28:$I$29,2,0),0)</f>
        <v>4</v>
      </c>
      <c r="T22" s="56"/>
      <c r="U22" s="56"/>
      <c r="V22" s="56"/>
      <c r="W22" s="56"/>
    </row>
    <row r="23" customFormat="false" ht="18.45" hidden="false" customHeight="true" outlineLevel="0" collapsed="false">
      <c r="A23" s="53"/>
      <c r="B23" s="106" t="str">
        <f aca="false">+B9</f>
        <v>fer</v>
      </c>
      <c r="C23" s="107" t="n">
        <f aca="false">+C9/C15*100</f>
        <v>2</v>
      </c>
      <c r="D23" s="107" t="n">
        <f aca="false">+C23/(100+D28)*100</f>
        <v>1.60240963855422</v>
      </c>
      <c r="E23" s="107" t="n">
        <f aca="false">+C23/(100+G4)*100</f>
        <v>1.66666666666667</v>
      </c>
      <c r="F23" s="107" t="n">
        <f aca="false">+C23/(F4+G4+100)*100</f>
        <v>1.30718954248366</v>
      </c>
      <c r="G23" s="107" t="n">
        <f aca="false">IFERROR(INDEX($N$28:$N$29,MATCH(B23,$B$28:$B$29,0),1),0)</f>
        <v>0</v>
      </c>
      <c r="H23" s="75" t="str">
        <f aca="false">+B23</f>
        <v>fer</v>
      </c>
      <c r="I23" s="68" t="n">
        <f aca="false">+N23+N33*(H37+I37)</f>
        <v>2</v>
      </c>
      <c r="J23" s="108" t="n">
        <f aca="false">+J22</f>
        <v>0</v>
      </c>
      <c r="K23" s="108" t="n">
        <f aca="false">+K22</f>
        <v>1</v>
      </c>
      <c r="L23" s="108" t="n">
        <f aca="false">+L22</f>
        <v>0</v>
      </c>
      <c r="M23" s="108" t="n">
        <f aca="false">+M22</f>
        <v>0</v>
      </c>
      <c r="N23" s="72" t="n">
        <f aca="false">+(J23*D23+C23*K23+L23*E23+M23*F23)/(J23+K23+L23+M23)</f>
        <v>2</v>
      </c>
      <c r="O23" s="73"/>
      <c r="P23" s="73"/>
      <c r="Q23" s="73"/>
      <c r="R23" s="73"/>
      <c r="S23" s="56" t="n">
        <f aca="false">+(J23*D23+K23*C23+L23*E23+M23*F23)/(J23+K23+L23+M23)+IFERROR(VLOOKUP(H23,$H$28:$I$29,2,0),0)</f>
        <v>2</v>
      </c>
      <c r="T23" s="56"/>
      <c r="U23" s="56"/>
      <c r="V23" s="56"/>
      <c r="W23" s="56"/>
    </row>
    <row r="24" customFormat="false" ht="18.45" hidden="false" customHeight="true" outlineLevel="0" collapsed="false">
      <c r="A24" s="53"/>
      <c r="B24" s="106" t="str">
        <f aca="false">+B10</f>
        <v>cobalt</v>
      </c>
      <c r="C24" s="107" t="n">
        <f aca="false">+C10/C15*100</f>
        <v>1</v>
      </c>
      <c r="D24" s="107" t="n">
        <f aca="false">+C24/(100+D28)*100</f>
        <v>0.801204819277108</v>
      </c>
      <c r="E24" s="107" t="n">
        <f aca="false">+C24/(100+G4)*100</f>
        <v>0.833333333333333</v>
      </c>
      <c r="F24" s="107" t="n">
        <f aca="false">+C24/(F4+G4+100)*100</f>
        <v>0.65359477124183</v>
      </c>
      <c r="G24" s="107" t="n">
        <f aca="false">IFERROR(INDEX($N$28:$N$29,MATCH(B24,$B$28:$B$29,0),1),0)</f>
        <v>0</v>
      </c>
      <c r="H24" s="75" t="str">
        <f aca="false">+B24</f>
        <v>cobalt</v>
      </c>
      <c r="I24" s="68" t="n">
        <f aca="false">+N24+N34*(H38+I38)</f>
        <v>1</v>
      </c>
      <c r="J24" s="108" t="n">
        <f aca="false">+J23</f>
        <v>0</v>
      </c>
      <c r="K24" s="108" t="n">
        <f aca="false">+K23</f>
        <v>1</v>
      </c>
      <c r="L24" s="108" t="n">
        <f aca="false">+L23</f>
        <v>0</v>
      </c>
      <c r="M24" s="108" t="n">
        <f aca="false">+M23</f>
        <v>0</v>
      </c>
      <c r="N24" s="72" t="n">
        <f aca="false">+(J24*D24+C24*K24+L24*E24+M24*F24)/(J24+K24+L24+M24)</f>
        <v>1</v>
      </c>
      <c r="O24" s="73"/>
      <c r="P24" s="73"/>
      <c r="Q24" s="73"/>
      <c r="R24" s="73"/>
      <c r="S24" s="56" t="n">
        <f aca="false">+(J24*D24+K24*C24+L24*E24+M24*F24)/(J24+K24+L24+M24)+IFERROR(VLOOKUP(H24,$H$28:$I$29,2,0),0)</f>
        <v>1</v>
      </c>
      <c r="T24" s="56"/>
      <c r="U24" s="56"/>
      <c r="V24" s="56"/>
      <c r="W24" s="56"/>
    </row>
    <row r="25" customFormat="false" ht="18.45" hidden="false" customHeight="true" outlineLevel="0" collapsed="false">
      <c r="A25" s="53"/>
      <c r="B25" s="106" t="n">
        <f aca="false">+B11</f>
        <v>0</v>
      </c>
      <c r="C25" s="107" t="n">
        <f aca="false">+C11/C15*100</f>
        <v>0</v>
      </c>
      <c r="D25" s="107" t="n">
        <f aca="false">+C25/(100+D28)*100</f>
        <v>0</v>
      </c>
      <c r="E25" s="107" t="n">
        <f aca="false">+C25/(100+G4)*100</f>
        <v>0</v>
      </c>
      <c r="F25" s="107" t="n">
        <f aca="false">+C25/(F4+G4+100)*100</f>
        <v>0</v>
      </c>
      <c r="G25" s="107" t="n">
        <f aca="false">IFERROR(INDEX($N$28:$N$29,MATCH(B25,$B$28:$B$29,0),1),0)</f>
        <v>0</v>
      </c>
      <c r="H25" s="75" t="n">
        <f aca="false">+B25</f>
        <v>0</v>
      </c>
      <c r="I25" s="68" t="n">
        <f aca="false">+N25+N35*(H39+I39)</f>
        <v>0</v>
      </c>
      <c r="J25" s="108" t="n">
        <f aca="false">+J24</f>
        <v>0</v>
      </c>
      <c r="K25" s="108" t="n">
        <f aca="false">+K24</f>
        <v>1</v>
      </c>
      <c r="L25" s="108" t="n">
        <f aca="false">+L24</f>
        <v>0</v>
      </c>
      <c r="M25" s="108" t="n">
        <f aca="false">+M24</f>
        <v>0</v>
      </c>
      <c r="N25" s="72" t="n">
        <f aca="false">+(J25*D25+C25*K25+L25*E25+M25*F25)/(J25+K25+L25+M25)</f>
        <v>0</v>
      </c>
      <c r="O25" s="73"/>
      <c r="P25" s="73"/>
      <c r="Q25" s="73"/>
      <c r="R25" s="73"/>
      <c r="S25" s="56" t="n">
        <f aca="false">+(J25*D25+K25*C25+L25*E25+M25*F25)/(J25+K25+L25+M25)+IFERROR(VLOOKUP(H25,$H$28:$I$29,2,0),0)</f>
        <v>0</v>
      </c>
      <c r="T25" s="56"/>
      <c r="U25" s="56"/>
      <c r="V25" s="56"/>
      <c r="W25" s="56"/>
    </row>
    <row r="26" customFormat="false" ht="18.45" hidden="false" customHeight="true" outlineLevel="0" collapsed="false">
      <c r="A26" s="53"/>
      <c r="B26" s="106" t="n">
        <f aca="false">+B12</f>
        <v>0</v>
      </c>
      <c r="C26" s="107" t="n">
        <f aca="false">+C12/C15*100</f>
        <v>0</v>
      </c>
      <c r="D26" s="107" t="n">
        <f aca="false">+C26/(100+D28)*100</f>
        <v>0</v>
      </c>
      <c r="E26" s="107" t="n">
        <f aca="false">+D26/(100+G4)*100</f>
        <v>0</v>
      </c>
      <c r="F26" s="107" t="n">
        <f aca="false">+C26/(F4+G4+100)*100</f>
        <v>0</v>
      </c>
      <c r="G26" s="107" t="n">
        <f aca="false">IFERROR(INDEX($N$28:$N$29,MATCH(B26,$B$28:$B$29,0),1),0)</f>
        <v>0</v>
      </c>
      <c r="H26" s="75" t="n">
        <f aca="false">+B26</f>
        <v>0</v>
      </c>
      <c r="I26" s="68" t="n">
        <f aca="false">+N26+N36*(H40+I40)</f>
        <v>0</v>
      </c>
      <c r="J26" s="108" t="n">
        <f aca="false">+J25</f>
        <v>0</v>
      </c>
      <c r="K26" s="108" t="n">
        <f aca="false">+K25</f>
        <v>1</v>
      </c>
      <c r="L26" s="108" t="n">
        <f aca="false">+L25</f>
        <v>0</v>
      </c>
      <c r="M26" s="108" t="n">
        <f aca="false">+M25</f>
        <v>0</v>
      </c>
      <c r="N26" s="72" t="n">
        <f aca="false">+(J26*D26+C26*K26+L26*E26+M26*F26)/(J26+K26+L26+M26)</f>
        <v>0</v>
      </c>
      <c r="O26" s="73"/>
      <c r="P26" s="73"/>
      <c r="Q26" s="73"/>
      <c r="R26" s="73"/>
      <c r="S26" s="56" t="n">
        <f aca="false">+(J26*D26+K26*C26+L26*E26+M26*F26)/(J26+K26+L26+M26)+IFERROR(VLOOKUP(H26,$H$28:$I$29,2,0),0)</f>
        <v>0</v>
      </c>
      <c r="T26" s="56"/>
      <c r="U26" s="56"/>
      <c r="V26" s="56"/>
      <c r="W26" s="56"/>
    </row>
    <row r="27" customFormat="false" ht="18.45" hidden="false" customHeight="true" outlineLevel="0" collapsed="false">
      <c r="A27" s="53"/>
      <c r="B27" s="106" t="n">
        <f aca="false">+B13</f>
        <v>0</v>
      </c>
      <c r="C27" s="107" t="n">
        <f aca="false">+C14/C15*100</f>
        <v>0</v>
      </c>
      <c r="D27" s="107" t="n">
        <f aca="false">+C27/(100+D28)*100</f>
        <v>0</v>
      </c>
      <c r="E27" s="107" t="n">
        <f aca="false">+C27/(100+G13)*100</f>
        <v>0</v>
      </c>
      <c r="F27" s="107" t="n">
        <f aca="false">+C27/(F4+G4+100)*100</f>
        <v>0</v>
      </c>
      <c r="G27" s="107" t="n">
        <f aca="false">IFERROR(INDEX($N$28:$N$29,MATCH(B27,$B$28:$B$29,0),1),0)</f>
        <v>0</v>
      </c>
      <c r="H27" s="75" t="n">
        <f aca="false">+B27</f>
        <v>0</v>
      </c>
      <c r="I27" s="68" t="n">
        <f aca="false">+N27+N37*(H41+I41)</f>
        <v>0</v>
      </c>
      <c r="J27" s="108" t="n">
        <f aca="false">+J26</f>
        <v>0</v>
      </c>
      <c r="K27" s="108" t="n">
        <f aca="false">+K26</f>
        <v>1</v>
      </c>
      <c r="L27" s="108" t="n">
        <f aca="false">+L26</f>
        <v>0</v>
      </c>
      <c r="M27" s="108" t="n">
        <f aca="false">+M26</f>
        <v>0</v>
      </c>
      <c r="N27" s="72" t="n">
        <f aca="false">+(J27*D27+C27*K27+L27*E27+M27*F27)/(J27+K27+L27+M27)</f>
        <v>0</v>
      </c>
      <c r="O27" s="73"/>
      <c r="P27" s="73"/>
      <c r="Q27" s="73"/>
      <c r="R27" s="73"/>
      <c r="S27" s="56" t="n">
        <f aca="false">+(J27*D27+K27*C27+L27*E27+M27*F27)/(J27+K27+L27+M27)+IFERROR(VLOOKUP(H27,$H$28:$I$29,2,0),0)</f>
        <v>0</v>
      </c>
      <c r="T27" s="56"/>
      <c r="U27" s="56"/>
      <c r="V27" s="56"/>
      <c r="W27" s="56"/>
    </row>
    <row r="28" customFormat="false" ht="18.45" hidden="false" customHeight="true" outlineLevel="0" collapsed="false">
      <c r="A28" s="53"/>
      <c r="B28" s="106" t="str">
        <f aca="false">+F3</f>
        <v>silice</v>
      </c>
      <c r="C28" s="107" t="n">
        <v>0</v>
      </c>
      <c r="D28" s="107" t="n">
        <f aca="false">+F4/(F4+100)*100</f>
        <v>24.812030075188</v>
      </c>
      <c r="E28" s="107" t="n">
        <v>0</v>
      </c>
      <c r="F28" s="107" t="n">
        <f aca="false">+F4/(G4+F4+100)*100</f>
        <v>21.5686274509804</v>
      </c>
      <c r="G28" s="107" t="n">
        <f aca="false">IFERROR(INDEX($N$28:$N$29,MATCH(B28,$B$28:$B$29,0),1),0)</f>
        <v>0</v>
      </c>
      <c r="H28" s="76" t="str">
        <f aca="false">+IF(H43=0,F3,"")</f>
        <v/>
      </c>
      <c r="I28" s="77" t="str">
        <f aca="false">+IF(H43=0,N28,"")</f>
        <v/>
      </c>
      <c r="J28" s="108" t="n">
        <f aca="false">+J27</f>
        <v>0</v>
      </c>
      <c r="K28" s="108" t="n">
        <f aca="false">+K27</f>
        <v>1</v>
      </c>
      <c r="L28" s="108" t="n">
        <f aca="false">+L27</f>
        <v>0</v>
      </c>
      <c r="M28" s="108" t="n">
        <f aca="false">+M27</f>
        <v>0</v>
      </c>
      <c r="N28" s="72" t="n">
        <f aca="false">+(J28*D28+C28*K28+L28*E28+M28*F28)/(J28+K28+L28+M28)</f>
        <v>0</v>
      </c>
      <c r="O28" s="73"/>
      <c r="P28" s="73"/>
      <c r="Q28" s="73"/>
      <c r="R28" s="73"/>
      <c r="S28" s="78"/>
      <c r="T28" s="56"/>
      <c r="U28" s="56"/>
      <c r="V28" s="56"/>
      <c r="W28" s="56"/>
    </row>
    <row r="29" customFormat="false" ht="18.45" hidden="false" customHeight="true" outlineLevel="0" collapsed="false">
      <c r="A29" s="53"/>
      <c r="B29" s="106" t="str">
        <f aca="false">+G3</f>
        <v>gertsley</v>
      </c>
      <c r="C29" s="107" t="n">
        <v>0</v>
      </c>
      <c r="D29" s="107" t="n">
        <v>0</v>
      </c>
      <c r="E29" s="107" t="n">
        <f aca="false">+G4/(G4+100)*100</f>
        <v>16.6666666666667</v>
      </c>
      <c r="F29" s="107" t="n">
        <f aca="false">+G4/(G4+F4+100)*100</f>
        <v>13.0718954248366</v>
      </c>
      <c r="G29" s="107"/>
      <c r="H29" s="109" t="str">
        <f aca="false">+IF(I43=0,G3,"")</f>
        <v/>
      </c>
      <c r="I29" s="110" t="str">
        <f aca="false">+IF(I43=0,N29,"")</f>
        <v/>
      </c>
      <c r="J29" s="108" t="n">
        <f aca="false">+J28</f>
        <v>0</v>
      </c>
      <c r="K29" s="108" t="n">
        <f aca="false">+K28</f>
        <v>1</v>
      </c>
      <c r="L29" s="108" t="n">
        <f aca="false">+L28</f>
        <v>0</v>
      </c>
      <c r="M29" s="108" t="n">
        <f aca="false">+M28</f>
        <v>0</v>
      </c>
      <c r="N29" s="72" t="n">
        <f aca="false">+(J29*D29+C29*K29+L29*E29+M29*F29)/(J29+K29+L29+M29)</f>
        <v>0</v>
      </c>
      <c r="O29" s="81" t="s">
        <v>37</v>
      </c>
      <c r="P29" s="81"/>
      <c r="Q29" s="73"/>
      <c r="R29" s="73"/>
      <c r="S29" s="78"/>
      <c r="T29" s="56"/>
      <c r="U29" s="56"/>
      <c r="V29" s="56"/>
      <c r="W29" s="56"/>
    </row>
    <row r="30" customFormat="false" ht="18.45" hidden="false" customHeight="true" outlineLevel="0" collapsed="false">
      <c r="A30" s="53"/>
      <c r="B30" s="53"/>
      <c r="C30" s="82"/>
      <c r="D30" s="82"/>
      <c r="E30" s="82"/>
      <c r="F30" s="82"/>
      <c r="G30" s="82"/>
      <c r="H30" s="73"/>
      <c r="I30" s="73"/>
      <c r="J30" s="73"/>
      <c r="K30" s="73"/>
      <c r="L30" s="73"/>
      <c r="M30" s="73"/>
      <c r="N30" s="66"/>
      <c r="O30" s="73"/>
      <c r="P30" s="73"/>
      <c r="Q30" s="73"/>
      <c r="R30" s="73"/>
      <c r="S30" s="78"/>
      <c r="T30" s="56"/>
      <c r="U30" s="56"/>
      <c r="V30" s="56"/>
      <c r="W30" s="56"/>
    </row>
    <row r="31" customFormat="false" ht="18.45" hidden="false" customHeight="true" outlineLevel="0" collapsed="false">
      <c r="A31" s="3"/>
      <c r="B31" s="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8"/>
      <c r="T31" s="56"/>
      <c r="U31" s="56"/>
      <c r="V31" s="56"/>
      <c r="W31" s="56"/>
    </row>
    <row r="32" customFormat="false" ht="18.45" hidden="false" customHeight="true" outlineLevel="0" collapsed="false">
      <c r="C32" s="86"/>
      <c r="D32" s="86"/>
      <c r="E32" s="86"/>
      <c r="F32" s="86"/>
      <c r="G32" s="86"/>
      <c r="H32" s="87" t="n">
        <f aca="false">+IF(B18=$B$28,1,0)</f>
        <v>0</v>
      </c>
      <c r="I32" s="87" t="n">
        <f aca="false">+IF(B18=$B$29,1,0)</f>
        <v>0</v>
      </c>
      <c r="J32" s="78"/>
      <c r="K32" s="86"/>
      <c r="L32" s="86"/>
      <c r="M32" s="86"/>
      <c r="N32" s="86"/>
      <c r="O32" s="86"/>
      <c r="P32" s="86"/>
      <c r="Q32" s="86"/>
      <c r="R32" s="86"/>
      <c r="S32" s="86"/>
    </row>
    <row r="33" customFormat="false" ht="18.45" hidden="false" customHeight="true" outlineLevel="0" collapsed="false">
      <c r="C33" s="86"/>
      <c r="D33" s="86"/>
      <c r="E33" s="86"/>
      <c r="F33" s="86"/>
      <c r="G33" s="86"/>
      <c r="H33" s="87" t="n">
        <f aca="false">+IF(B19=$B$28,1,0)</f>
        <v>1</v>
      </c>
      <c r="I33" s="87" t="n">
        <f aca="false">+IF(B19=$B$29,1,0)</f>
        <v>0</v>
      </c>
      <c r="J33" s="78"/>
      <c r="K33" s="86"/>
      <c r="L33" s="86"/>
      <c r="M33" s="86"/>
      <c r="N33" s="86"/>
      <c r="O33" s="86"/>
      <c r="P33" s="86"/>
      <c r="Q33" s="86"/>
      <c r="R33" s="86"/>
      <c r="S33" s="86"/>
    </row>
    <row r="34" customFormat="false" ht="18.45" hidden="false" customHeight="true" outlineLevel="0" collapsed="false">
      <c r="C34" s="86"/>
      <c r="D34" s="86"/>
      <c r="E34" s="86"/>
      <c r="F34" s="86"/>
      <c r="G34" s="86"/>
      <c r="H34" s="87" t="n">
        <f aca="false">+IF(B20=$B$28,1,0)</f>
        <v>0</v>
      </c>
      <c r="I34" s="87" t="n">
        <f aca="false">+IF(B20=$B$29,1,0)</f>
        <v>0</v>
      </c>
      <c r="J34" s="78"/>
      <c r="K34" s="86"/>
      <c r="L34" s="86"/>
      <c r="M34" s="86"/>
      <c r="N34" s="86"/>
      <c r="O34" s="86"/>
      <c r="P34" s="86"/>
      <c r="Q34" s="86"/>
      <c r="R34" s="86"/>
      <c r="S34" s="86"/>
    </row>
    <row r="35" customFormat="false" ht="12.85" hidden="false" customHeight="false" outlineLevel="0" collapsed="false">
      <c r="C35" s="86"/>
      <c r="D35" s="86"/>
      <c r="E35" s="86"/>
      <c r="F35" s="86"/>
      <c r="G35" s="86"/>
      <c r="H35" s="87" t="n">
        <f aca="false">+IF(B21=$B$28,1,0)</f>
        <v>0</v>
      </c>
      <c r="I35" s="87" t="n">
        <f aca="false">+IF(B21=$B$29,1,0)</f>
        <v>1</v>
      </c>
      <c r="J35" s="78"/>
      <c r="K35" s="86"/>
      <c r="L35" s="86"/>
      <c r="M35" s="86"/>
      <c r="N35" s="86"/>
      <c r="O35" s="86"/>
      <c r="P35" s="86"/>
      <c r="Q35" s="86"/>
      <c r="R35" s="86"/>
      <c r="S35" s="86"/>
    </row>
    <row r="36" customFormat="false" ht="12.85" hidden="false" customHeight="false" outlineLevel="0" collapsed="false">
      <c r="C36" s="86"/>
      <c r="D36" s="86"/>
      <c r="E36" s="86"/>
      <c r="F36" s="86"/>
      <c r="G36" s="86"/>
      <c r="H36" s="87" t="n">
        <f aca="false">+IF(B22=$B$28,1,0)</f>
        <v>0</v>
      </c>
      <c r="I36" s="87" t="n">
        <f aca="false">+IF(B22=$B$29,1,0)</f>
        <v>0</v>
      </c>
      <c r="J36" s="78"/>
      <c r="K36" s="86"/>
      <c r="L36" s="86"/>
      <c r="M36" s="86"/>
      <c r="N36" s="86"/>
      <c r="O36" s="86"/>
      <c r="P36" s="86"/>
      <c r="Q36" s="86"/>
      <c r="R36" s="86"/>
      <c r="S36" s="86"/>
    </row>
    <row r="37" customFormat="false" ht="12.85" hidden="false" customHeight="false" outlineLevel="0" collapsed="false">
      <c r="C37" s="86"/>
      <c r="D37" s="86"/>
      <c r="E37" s="86"/>
      <c r="F37" s="86"/>
      <c r="G37" s="86"/>
      <c r="H37" s="87" t="n">
        <f aca="false">+IF(B23=$B$28,1,0)</f>
        <v>0</v>
      </c>
      <c r="I37" s="87" t="n">
        <f aca="false">+IF(B23=$B$29,1,0)</f>
        <v>0</v>
      </c>
      <c r="J37" s="78"/>
      <c r="K37" s="86"/>
      <c r="L37" s="86"/>
      <c r="M37" s="86"/>
      <c r="N37" s="86"/>
      <c r="O37" s="86"/>
      <c r="P37" s="86"/>
      <c r="Q37" s="86"/>
      <c r="R37" s="86"/>
      <c r="S37" s="86"/>
    </row>
    <row r="38" customFormat="false" ht="12.85" hidden="false" customHeight="false" outlineLevel="0" collapsed="false">
      <c r="C38" s="86"/>
      <c r="D38" s="86"/>
      <c r="E38" s="86"/>
      <c r="F38" s="86"/>
      <c r="G38" s="86"/>
      <c r="H38" s="87" t="n">
        <f aca="false">+IF(B24=$B$28,1,0)</f>
        <v>0</v>
      </c>
      <c r="I38" s="87" t="n">
        <f aca="false">+IF(B24=$B$29,1,0)</f>
        <v>0</v>
      </c>
      <c r="J38" s="78"/>
      <c r="K38" s="86"/>
      <c r="L38" s="86"/>
      <c r="M38" s="86"/>
      <c r="N38" s="86"/>
      <c r="O38" s="86"/>
      <c r="P38" s="86"/>
      <c r="Q38" s="86"/>
      <c r="R38" s="86"/>
      <c r="S38" s="86"/>
    </row>
    <row r="39" customFormat="false" ht="12.85" hidden="false" customHeight="false" outlineLevel="0" collapsed="false">
      <c r="C39" s="86"/>
      <c r="D39" s="86"/>
      <c r="E39" s="86"/>
      <c r="F39" s="86"/>
      <c r="G39" s="86"/>
      <c r="H39" s="87" t="n">
        <f aca="false">+IF(B25=$B$28,1,0)</f>
        <v>0</v>
      </c>
      <c r="I39" s="87" t="n">
        <f aca="false">+IF(B25=$B$29,1,0)</f>
        <v>0</v>
      </c>
      <c r="J39" s="78"/>
      <c r="K39" s="86"/>
      <c r="L39" s="86"/>
      <c r="M39" s="86"/>
      <c r="N39" s="86"/>
      <c r="O39" s="86"/>
      <c r="P39" s="86"/>
      <c r="Q39" s="86"/>
      <c r="R39" s="86"/>
      <c r="S39" s="86"/>
    </row>
    <row r="40" customFormat="false" ht="12.85" hidden="false" customHeight="false" outlineLevel="0" collapsed="false">
      <c r="C40" s="86"/>
      <c r="D40" s="86"/>
      <c r="E40" s="86"/>
      <c r="F40" s="86"/>
      <c r="G40" s="86"/>
      <c r="H40" s="87" t="n">
        <f aca="false">+IF(B26=$B$28,1,0)</f>
        <v>0</v>
      </c>
      <c r="I40" s="87" t="n">
        <f aca="false">+IF(B26=$B$29,1,0)</f>
        <v>0</v>
      </c>
      <c r="J40" s="78"/>
      <c r="K40" s="86"/>
      <c r="L40" s="86"/>
      <c r="M40" s="86"/>
      <c r="N40" s="86"/>
      <c r="O40" s="86"/>
      <c r="P40" s="86"/>
      <c r="Q40" s="86"/>
      <c r="R40" s="86"/>
      <c r="S40" s="86"/>
    </row>
    <row r="41" customFormat="false" ht="12.85" hidden="false" customHeight="false" outlineLevel="0" collapsed="false">
      <c r="B41" s="64"/>
      <c r="C41" s="86"/>
      <c r="D41" s="86"/>
      <c r="E41" s="86"/>
      <c r="F41" s="86"/>
      <c r="G41" s="86"/>
      <c r="H41" s="87" t="n">
        <f aca="false">+IF(B27=$B$28,1,0)</f>
        <v>0</v>
      </c>
      <c r="I41" s="87" t="n">
        <f aca="false">+IF(B27=$B$29,1,0)</f>
        <v>0</v>
      </c>
      <c r="J41" s="78"/>
      <c r="K41" s="86"/>
      <c r="L41" s="86"/>
      <c r="M41" s="86"/>
      <c r="N41" s="86"/>
      <c r="O41" s="86"/>
      <c r="P41" s="86"/>
      <c r="Q41" s="86"/>
      <c r="R41" s="86"/>
      <c r="S41" s="86"/>
    </row>
    <row r="42" customFormat="false" ht="12.85" hidden="false" customHeight="false" outlineLevel="0" collapsed="false">
      <c r="C42" s="86"/>
      <c r="D42" s="86"/>
      <c r="E42" s="86"/>
      <c r="F42" s="86"/>
      <c r="G42" s="86"/>
      <c r="H42" s="78"/>
      <c r="I42" s="78"/>
      <c r="J42" s="78"/>
      <c r="K42" s="86"/>
      <c r="L42" s="86"/>
      <c r="M42" s="86"/>
      <c r="N42" s="86"/>
      <c r="O42" s="86"/>
      <c r="P42" s="86"/>
      <c r="Q42" s="86"/>
      <c r="R42" s="86"/>
      <c r="S42" s="86"/>
    </row>
    <row r="43" customFormat="false" ht="12.85" hidden="false" customHeight="false" outlineLevel="0" collapsed="false">
      <c r="H43" s="56" t="n">
        <f aca="false">SUM(H32:H42)</f>
        <v>1</v>
      </c>
      <c r="I43" s="56" t="n">
        <f aca="false">SUM(I32:I42)</f>
        <v>1</v>
      </c>
      <c r="J43" s="56"/>
    </row>
    <row r="44" customFormat="false" ht="12.85" hidden="false" customHeight="false" outlineLevel="0" collapsed="false">
      <c r="H44" s="56"/>
      <c r="I44" s="56"/>
    </row>
    <row r="45" customFormat="false" ht="12.85" hidden="false" customHeight="false" outlineLevel="0" collapsed="false">
      <c r="H45" s="85"/>
      <c r="I45" s="85"/>
    </row>
    <row r="46" customFormat="false" ht="12.85" hidden="false" customHeight="false" outlineLevel="0" collapsed="false">
      <c r="H46" s="85"/>
      <c r="I46" s="85"/>
    </row>
    <row r="47" customFormat="false" ht="12.85" hidden="false" customHeight="false" outlineLevel="0" collapsed="false">
      <c r="H47" s="85"/>
      <c r="I47" s="85"/>
    </row>
    <row r="48" customFormat="false" ht="12.85" hidden="false" customHeight="false" outlineLevel="0" collapsed="false">
      <c r="H48" s="85"/>
      <c r="I48" s="85"/>
    </row>
    <row r="62" customFormat="false" ht="12.85" hidden="false" customHeight="false" outlineLevel="0" collapsed="false">
      <c r="G62" s="88"/>
    </row>
    <row r="71" customFormat="false" ht="12.85" hidden="false" customHeight="false" outlineLevel="0" collapsed="false">
      <c r="B71" s="89"/>
      <c r="C71" s="89"/>
      <c r="D71" s="89"/>
      <c r="E71" s="89"/>
      <c r="F71" s="89"/>
      <c r="G71" s="89"/>
      <c r="H71" s="89"/>
      <c r="I71" s="89"/>
      <c r="J71" s="89"/>
      <c r="K71" s="89"/>
    </row>
  </sheetData>
  <sheetProtection sheet="true" objects="true" scenarios="true" selectLockedCells="true"/>
  <conditionalFormatting sqref="B4:C14 H17:H27 J4:K15 N18:N29 I18:I27 B18:F20">
    <cfRule type="cellIs" priority="2" operator="equal" aboveAverage="0" equalAverage="0" bottom="0" percent="0" rank="0" text="" dxfId="0">
      <formula>0</formula>
    </cfRule>
  </conditionalFormatting>
  <conditionalFormatting sqref="D3 A29:G29 A21:F29">
    <cfRule type="cellIs" priority="3" operator="equal" aboveAverage="0" equalAverage="0" bottom="0" percent="0" rank="0" text="" dxfId="1">
      <formula>0</formula>
    </cfRule>
  </conditionalFormatting>
  <conditionalFormatting sqref="H28:I28">
    <cfRule type="cellIs" priority="4" operator="equal" aboveAverage="0" equalAverage="0" bottom="0" percent="0" rank="0" text="" dxfId="2">
      <formula>0</formula>
    </cfRule>
  </conditionalFormatting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1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W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5" zeroHeight="false" outlineLevelRow="0" outlineLevelCol="0"/>
  <cols>
    <col collapsed="false" customWidth="true" hidden="false" outlineLevel="0" max="1" min="1" style="0" width="4.07"/>
    <col collapsed="false" customWidth="true" hidden="false" outlineLevel="0" max="2" min="2" style="0" width="14.16"/>
    <col collapsed="false" customWidth="true" hidden="false" outlineLevel="0" max="3" min="3" style="0" width="13.43"/>
    <col collapsed="false" customWidth="true" hidden="false" outlineLevel="0" max="4" min="4" style="0" width="13.02"/>
    <col collapsed="false" customWidth="true" hidden="false" outlineLevel="0" max="5" min="5" style="0" width="13.43"/>
    <col collapsed="false" customWidth="true" hidden="false" outlineLevel="0" max="6" min="6" style="0" width="12.31"/>
    <col collapsed="false" customWidth="true" hidden="false" outlineLevel="0" max="7" min="7" style="0" width="12.88"/>
    <col collapsed="false" customWidth="true" hidden="false" outlineLevel="0" max="10" min="10" style="0" width="11.42"/>
    <col collapsed="false" customWidth="true" hidden="false" outlineLevel="0" max="11" min="11" style="0" width="9.91"/>
    <col collapsed="false" customWidth="true" hidden="false" outlineLevel="0" max="12" min="12" style="0" width="10.19"/>
    <col collapsed="false" customWidth="true" hidden="false" outlineLevel="0" max="13" min="13" style="0" width="12.37"/>
    <col collapsed="false" customWidth="true" hidden="false" outlineLevel="0" max="14" min="14" style="0" width="12.44"/>
    <col collapsed="false" customWidth="true" hidden="false" outlineLevel="0" max="17" min="17" style="0" width="8.94"/>
    <col collapsed="false" customWidth="true" hidden="false" outlineLevel="0" max="18" min="18" style="0" width="5.55"/>
  </cols>
  <sheetData>
    <row r="1" customFormat="false" ht="84.85" hidden="false" customHeight="true" outlineLevel="0" collapsed="false">
      <c r="B1" s="1"/>
      <c r="C1" s="111" t="s">
        <v>38</v>
      </c>
      <c r="D1" s="1"/>
      <c r="E1" s="1"/>
      <c r="F1" s="1"/>
      <c r="G1" s="1"/>
      <c r="H1" s="1"/>
      <c r="I1" s="1"/>
      <c r="J1" s="1"/>
      <c r="K1" s="2"/>
      <c r="Q1" s="3"/>
      <c r="R1" s="3"/>
    </row>
    <row r="2" customFormat="false" ht="72.1" hidden="false" customHeight="true" outlineLevel="0" collapsed="false">
      <c r="A2" s="3"/>
      <c r="B2" s="4"/>
      <c r="C2" s="4"/>
      <c r="D2" s="4"/>
      <c r="E2" s="4"/>
      <c r="F2" s="4"/>
      <c r="G2" s="4"/>
      <c r="H2" s="4"/>
      <c r="I2" s="4"/>
      <c r="J2" s="4"/>
      <c r="K2" s="5"/>
      <c r="L2" s="3"/>
      <c r="M2" s="3"/>
      <c r="N2" s="3"/>
      <c r="O2" s="3"/>
      <c r="P2" s="3"/>
      <c r="Q2" s="3"/>
      <c r="R2" s="3"/>
      <c r="T2" s="6"/>
    </row>
    <row r="3" customFormat="false" ht="24.85" hidden="false" customHeight="true" outlineLevel="0" collapsed="false">
      <c r="A3" s="3"/>
      <c r="B3" s="112" t="s">
        <v>39</v>
      </c>
      <c r="C3" s="113" t="n">
        <v>44835</v>
      </c>
      <c r="D3" s="9"/>
      <c r="E3" s="10" t="s">
        <v>2</v>
      </c>
      <c r="F3" s="11" t="s">
        <v>3</v>
      </c>
      <c r="G3" s="12" t="s">
        <v>4</v>
      </c>
      <c r="H3" s="10"/>
      <c r="I3" s="13"/>
      <c r="J3" s="14" t="s">
        <v>5</v>
      </c>
      <c r="K3" s="90" t="n">
        <v>25</v>
      </c>
      <c r="L3" s="16" t="s">
        <v>6</v>
      </c>
      <c r="M3" s="17" t="s">
        <v>7</v>
      </c>
      <c r="N3" s="3"/>
      <c r="O3" s="3"/>
      <c r="P3" s="3"/>
      <c r="Q3" s="18" t="s">
        <v>8</v>
      </c>
      <c r="R3" s="3"/>
    </row>
    <row r="4" customFormat="false" ht="23.2" hidden="false" customHeight="true" outlineLevel="0" collapsed="false">
      <c r="A4" s="3"/>
      <c r="B4" s="19" t="s">
        <v>3</v>
      </c>
      <c r="C4" s="20" t="n">
        <v>50</v>
      </c>
      <c r="D4" s="3"/>
      <c r="E4" s="3"/>
      <c r="F4" s="91" t="n">
        <v>25</v>
      </c>
      <c r="G4" s="92" t="n">
        <v>12</v>
      </c>
      <c r="H4" s="23" t="s">
        <v>9</v>
      </c>
      <c r="I4" s="23"/>
      <c r="J4" s="24" t="str">
        <f aca="false">+B4</f>
        <v>Cendre</v>
      </c>
      <c r="K4" s="25" t="n">
        <f aca="false">+C4/C15*25</f>
        <v>11.7924528301887</v>
      </c>
      <c r="L4" s="3"/>
      <c r="M4" s="26" t="str">
        <f aca="false">+F3</f>
        <v>Cendre</v>
      </c>
      <c r="N4" s="3"/>
      <c r="O4" s="3"/>
      <c r="P4" s="3"/>
      <c r="Q4" s="16" t="str">
        <f aca="false">+F3</f>
        <v>Cendre</v>
      </c>
      <c r="R4" s="27"/>
    </row>
    <row r="5" customFormat="false" ht="17.4" hidden="false" customHeight="true" outlineLevel="0" collapsed="false">
      <c r="A5" s="3"/>
      <c r="B5" s="19" t="s">
        <v>33</v>
      </c>
      <c r="C5" s="20" t="n">
        <v>25</v>
      </c>
      <c r="D5" s="3"/>
      <c r="E5" s="28" t="s">
        <v>10</v>
      </c>
      <c r="F5" s="3"/>
      <c r="G5" s="29"/>
      <c r="H5" s="3"/>
      <c r="I5" s="3"/>
      <c r="J5" s="24" t="str">
        <f aca="false">+B5</f>
        <v>Feldspath</v>
      </c>
      <c r="K5" s="25" t="n">
        <f aca="false">+C5/C15*25</f>
        <v>5.89622641509434</v>
      </c>
      <c r="L5" s="3"/>
      <c r="M5" s="93"/>
      <c r="N5" s="3"/>
      <c r="O5" s="3"/>
      <c r="P5" s="3"/>
      <c r="Q5" s="31" t="str">
        <f aca="false">+G3</f>
        <v>Talc</v>
      </c>
      <c r="R5" s="27"/>
    </row>
    <row r="6" customFormat="false" ht="15" hidden="false" customHeight="false" outlineLevel="0" collapsed="false">
      <c r="A6" s="3"/>
      <c r="B6" s="19" t="s">
        <v>40</v>
      </c>
      <c r="C6" s="20" t="n">
        <v>25</v>
      </c>
      <c r="D6" s="3"/>
      <c r="E6" s="32" t="s">
        <v>12</v>
      </c>
      <c r="F6" s="33" t="n">
        <f aca="false">+F4*0.0625</f>
        <v>1.5625</v>
      </c>
      <c r="G6" s="34" t="str">
        <f aca="false">+F3</f>
        <v>Cendre</v>
      </c>
      <c r="H6" s="3" t="s">
        <v>13</v>
      </c>
      <c r="I6" s="3"/>
      <c r="J6" s="24" t="str">
        <f aca="false">+B6</f>
        <v>Kaolin</v>
      </c>
      <c r="K6" s="25" t="n">
        <f aca="false">+C6/C15*25</f>
        <v>5.89622641509434</v>
      </c>
      <c r="L6" s="3"/>
      <c r="M6" s="35"/>
      <c r="N6" s="3"/>
      <c r="O6" s="3"/>
      <c r="P6" s="3"/>
      <c r="Q6" s="3"/>
      <c r="R6" s="3"/>
    </row>
    <row r="7" customFormat="false" ht="15" hidden="false" customHeight="false" outlineLevel="0" collapsed="false">
      <c r="A7" s="3"/>
      <c r="B7" s="19" t="s">
        <v>17</v>
      </c>
      <c r="C7" s="20" t="n">
        <v>6</v>
      </c>
      <c r="D7" s="3"/>
      <c r="E7" s="3"/>
      <c r="F7" s="36" t="n">
        <f aca="false">+F6*47/25</f>
        <v>2.9375</v>
      </c>
      <c r="G7" s="37" t="s">
        <v>15</v>
      </c>
      <c r="H7" s="3" t="s">
        <v>16</v>
      </c>
      <c r="I7" s="3"/>
      <c r="J7" s="24" t="str">
        <f aca="false">+B7</f>
        <v>Os</v>
      </c>
      <c r="K7" s="25" t="n">
        <f aca="false">+C7/C15*25</f>
        <v>1.41509433962264</v>
      </c>
      <c r="L7" s="3"/>
      <c r="M7" s="3"/>
      <c r="N7" s="3"/>
      <c r="O7" s="3"/>
      <c r="P7" s="3"/>
      <c r="Q7" s="3"/>
      <c r="R7" s="3"/>
    </row>
    <row r="8" customFormat="false" ht="15" hidden="false" customHeight="false" outlineLevel="0" collapsed="false">
      <c r="A8" s="3"/>
      <c r="B8" s="19" t="s">
        <v>4</v>
      </c>
      <c r="C8" s="20"/>
      <c r="D8" s="3"/>
      <c r="E8" s="32" t="s">
        <v>18</v>
      </c>
      <c r="F8" s="33" t="n">
        <f aca="false">+G4*0.0625</f>
        <v>0.75</v>
      </c>
      <c r="G8" s="34" t="str">
        <f aca="false">+G3</f>
        <v>Talc</v>
      </c>
      <c r="H8" s="3" t="s">
        <v>6</v>
      </c>
      <c r="I8" s="3"/>
      <c r="J8" s="24" t="str">
        <f aca="false">+B8</f>
        <v>Talc</v>
      </c>
      <c r="K8" s="25" t="n">
        <f aca="false">+C8/C15*25</f>
        <v>0</v>
      </c>
      <c r="L8" s="3"/>
      <c r="M8" s="3"/>
      <c r="N8" s="3"/>
      <c r="O8" s="3"/>
      <c r="P8" s="3"/>
      <c r="Q8" s="3"/>
      <c r="R8" s="3"/>
    </row>
    <row r="9" customFormat="false" ht="15" hidden="false" customHeight="false" outlineLevel="0" collapsed="false">
      <c r="A9" s="3"/>
      <c r="B9" s="19"/>
      <c r="C9" s="20"/>
      <c r="D9" s="3"/>
      <c r="E9" s="3"/>
      <c r="F9" s="36" t="n">
        <f aca="false">+F8*47/25</f>
        <v>1.41</v>
      </c>
      <c r="G9" s="37" t="s">
        <v>15</v>
      </c>
      <c r="H9" s="3" t="s">
        <v>19</v>
      </c>
      <c r="I9" s="3"/>
      <c r="J9" s="24" t="n">
        <f aca="false">+B9</f>
        <v>0</v>
      </c>
      <c r="K9" s="25" t="n">
        <f aca="false">+C9/C15*25</f>
        <v>0</v>
      </c>
      <c r="L9" s="3"/>
      <c r="M9" s="3"/>
      <c r="N9" s="3"/>
      <c r="O9" s="3"/>
      <c r="P9" s="3"/>
      <c r="Q9" s="3"/>
      <c r="R9" s="3"/>
    </row>
    <row r="10" customFormat="false" ht="15" hidden="false" customHeight="false" outlineLevel="0" collapsed="false">
      <c r="A10" s="3"/>
      <c r="B10" s="19"/>
      <c r="C10" s="20"/>
      <c r="D10" s="3"/>
      <c r="E10" s="38" t="s">
        <v>20</v>
      </c>
      <c r="F10" s="39" t="n">
        <f aca="false">+F6</f>
        <v>1.5625</v>
      </c>
      <c r="G10" s="40" t="str">
        <f aca="false">+G6</f>
        <v>Cendre</v>
      </c>
      <c r="H10" s="3" t="s">
        <v>6</v>
      </c>
      <c r="I10" s="3"/>
      <c r="J10" s="24" t="n">
        <f aca="false">+B10</f>
        <v>0</v>
      </c>
      <c r="K10" s="25" t="n">
        <f aca="false">+C10/C15*25</f>
        <v>0</v>
      </c>
      <c r="L10" s="3"/>
      <c r="M10" s="3"/>
      <c r="N10" s="3"/>
      <c r="O10" s="3"/>
      <c r="P10" s="3"/>
      <c r="Q10" s="3"/>
      <c r="R10" s="41"/>
    </row>
    <row r="11" customFormat="false" ht="15" hidden="false" customHeight="false" outlineLevel="0" collapsed="false">
      <c r="A11" s="3"/>
      <c r="B11" s="19"/>
      <c r="C11" s="20"/>
      <c r="D11" s="3"/>
      <c r="E11" s="3"/>
      <c r="F11" s="42" t="n">
        <f aca="false">+F8</f>
        <v>0.75</v>
      </c>
      <c r="G11" s="37" t="str">
        <f aca="false">+G8</f>
        <v>Talc</v>
      </c>
      <c r="H11" s="3" t="s">
        <v>6</v>
      </c>
      <c r="I11" s="3"/>
      <c r="J11" s="24" t="n">
        <f aca="false">+B11</f>
        <v>0</v>
      </c>
      <c r="K11" s="25" t="n">
        <f aca="false">+C11/C15*25</f>
        <v>0</v>
      </c>
      <c r="L11" s="3"/>
      <c r="M11" s="3"/>
      <c r="N11" s="3"/>
      <c r="O11" s="3"/>
      <c r="P11" s="3"/>
      <c r="Q11" s="3"/>
      <c r="R11" s="3"/>
    </row>
    <row r="12" customFormat="false" ht="15" hidden="false" customHeight="false" outlineLevel="0" collapsed="false">
      <c r="A12" s="3"/>
      <c r="B12" s="19"/>
      <c r="C12" s="20"/>
      <c r="D12" s="3"/>
      <c r="E12" s="3"/>
      <c r="F12" s="36" t="n">
        <f aca="false">+(F11+F10)*47/25</f>
        <v>4.3475</v>
      </c>
      <c r="G12" s="37" t="s">
        <v>15</v>
      </c>
      <c r="H12" s="3" t="s">
        <v>19</v>
      </c>
      <c r="I12" s="3"/>
      <c r="J12" s="24" t="n">
        <f aca="false">+B12</f>
        <v>0</v>
      </c>
      <c r="K12" s="25" t="n">
        <f aca="false">+C12/C15*25</f>
        <v>0</v>
      </c>
      <c r="L12" s="3"/>
      <c r="M12" s="3"/>
      <c r="N12" s="3"/>
      <c r="O12" s="3"/>
      <c r="P12" s="3"/>
      <c r="Q12" s="3"/>
      <c r="R12" s="3"/>
    </row>
    <row r="13" customFormat="false" ht="15" hidden="false" customHeight="false" outlineLevel="0" collapsed="false">
      <c r="A13" s="3"/>
      <c r="B13" s="19"/>
      <c r="C13" s="20"/>
      <c r="D13" s="3"/>
      <c r="E13" s="3"/>
      <c r="F13" s="3"/>
      <c r="G13" s="29"/>
      <c r="H13" s="3"/>
      <c r="I13" s="3"/>
      <c r="J13" s="24" t="n">
        <f aca="false">+B13</f>
        <v>0</v>
      </c>
      <c r="K13" s="25" t="n">
        <f aca="false">+C13/C15*25</f>
        <v>0</v>
      </c>
      <c r="L13" s="3"/>
      <c r="M13" s="3"/>
      <c r="N13" s="3"/>
      <c r="O13" s="3"/>
      <c r="P13" s="3"/>
      <c r="Q13" s="3"/>
      <c r="R13" s="3"/>
    </row>
    <row r="14" customFormat="false" ht="14.15" hidden="false" customHeight="false" outlineLevel="0" collapsed="false">
      <c r="A14" s="3"/>
      <c r="B14" s="43"/>
      <c r="C14" s="44"/>
      <c r="D14" s="3"/>
      <c r="E14" s="3"/>
      <c r="F14" s="3"/>
      <c r="G14" s="29"/>
      <c r="H14" s="3"/>
      <c r="I14" s="3"/>
      <c r="J14" s="24" t="n">
        <f aca="false">+B14</f>
        <v>0</v>
      </c>
      <c r="K14" s="25" t="n">
        <f aca="false">+C14/C15*25</f>
        <v>0</v>
      </c>
      <c r="L14" s="3"/>
      <c r="M14" s="45" t="str">
        <f aca="false">+B3</f>
        <v>RDC</v>
      </c>
      <c r="N14" s="3"/>
      <c r="O14" s="3"/>
      <c r="P14" s="3"/>
      <c r="Q14" s="16" t="str">
        <f aca="false">+G3</f>
        <v>Talc</v>
      </c>
      <c r="R14" s="3"/>
    </row>
    <row r="15" s="52" customFormat="true" ht="18.55" hidden="false" customHeight="false" outlineLevel="0" collapsed="false">
      <c r="A15" s="46"/>
      <c r="B15" s="47" t="s">
        <v>21</v>
      </c>
      <c r="C15" s="47" t="n">
        <f aca="false">SUM(C4:C14)</f>
        <v>106</v>
      </c>
      <c r="D15" s="46"/>
      <c r="E15" s="46"/>
      <c r="F15" s="46"/>
      <c r="G15" s="46"/>
      <c r="H15" s="46"/>
      <c r="I15" s="46"/>
      <c r="J15" s="48" t="s">
        <v>22</v>
      </c>
      <c r="K15" s="49" t="n">
        <v>47</v>
      </c>
      <c r="L15" s="46" t="s">
        <v>23</v>
      </c>
      <c r="M15" s="50" t="s">
        <v>24</v>
      </c>
      <c r="N15" s="46"/>
      <c r="O15" s="17"/>
      <c r="P15" s="50" t="s">
        <v>25</v>
      </c>
      <c r="Q15" s="46"/>
      <c r="R15" s="46"/>
    </row>
    <row r="16" customFormat="false" ht="36.35" hidden="false" customHeight="true" outlineLevel="0" collapsed="false">
      <c r="A16" s="53"/>
      <c r="B16" s="53"/>
      <c r="C16" s="53"/>
      <c r="D16" s="53"/>
      <c r="E16" s="53"/>
      <c r="F16" s="53"/>
      <c r="G16" s="53"/>
      <c r="H16" s="3"/>
      <c r="I16" s="3"/>
      <c r="J16" s="3"/>
      <c r="K16" s="3"/>
      <c r="L16" s="3"/>
      <c r="M16" s="3"/>
      <c r="N16" s="54"/>
      <c r="O16" s="3"/>
      <c r="P16" s="3"/>
      <c r="Q16" s="3"/>
      <c r="R16" s="3"/>
      <c r="S16" s="114"/>
      <c r="T16" s="56"/>
      <c r="U16" s="56"/>
      <c r="V16" s="56"/>
      <c r="W16" s="56"/>
    </row>
    <row r="17" s="64" customFormat="true" ht="18.45" hidden="false" customHeight="true" outlineLevel="0" collapsed="false">
      <c r="A17" s="95"/>
      <c r="B17" s="94"/>
      <c r="C17" s="100" t="s">
        <v>24</v>
      </c>
      <c r="D17" s="100" t="s">
        <v>7</v>
      </c>
      <c r="E17" s="100" t="s">
        <v>25</v>
      </c>
      <c r="F17" s="100" t="s">
        <v>8</v>
      </c>
      <c r="G17" s="100"/>
      <c r="H17" s="58" t="s">
        <v>26</v>
      </c>
      <c r="I17" s="59" t="str">
        <f aca="false">+W17</f>
        <v>1C1D</v>
      </c>
      <c r="J17" s="115" t="s">
        <v>7</v>
      </c>
      <c r="K17" s="116" t="s">
        <v>24</v>
      </c>
      <c r="L17" s="116" t="s">
        <v>25</v>
      </c>
      <c r="M17" s="117" t="s">
        <v>8</v>
      </c>
      <c r="N17" s="57"/>
      <c r="O17" s="29"/>
      <c r="P17" s="29"/>
      <c r="Q17" s="29"/>
      <c r="R17" s="29"/>
      <c r="S17" s="63" t="str">
        <f aca="false">CONCATENATE(IF(J18=1,"1A",""),IF(J18=2,"2A",""),IF(J18=3,"3A",""),IF(J18=4,"4A",""))</f>
        <v/>
      </c>
      <c r="T17" s="63" t="str">
        <f aca="false">CONCATENATE(IF(K18=1,"1B",""),IF(K18=2,"2B",""),IF(K18=3,"3B",""),IF(K18=4,"4B",""))</f>
        <v/>
      </c>
      <c r="U17" s="63" t="str">
        <f aca="false">CONCATENATE(IF(L18=1,"1C",""),IF(L18=2,"2C",""),IF(L18=3,"3C",""),IF(L18=4,"4C",""))</f>
        <v>1C</v>
      </c>
      <c r="V17" s="63" t="str">
        <f aca="false">CONCATENATE(IF(M18=1,"1D",""),IF(M18=2,"2D",""),IF(M18=3,"3D",""),IF(M18=4,"4D",""))</f>
        <v>1D</v>
      </c>
      <c r="W17" s="63" t="str">
        <f aca="false">CONCATENATE(S17,T17,U17,V17)</f>
        <v>1C1D</v>
      </c>
    </row>
    <row r="18" customFormat="false" ht="18.45" hidden="false" customHeight="true" outlineLevel="0" collapsed="false">
      <c r="A18" s="53"/>
      <c r="B18" s="106" t="str">
        <f aca="false">+B4</f>
        <v>Cendre</v>
      </c>
      <c r="C18" s="107" t="n">
        <f aca="false">+C4/C15*100</f>
        <v>47.1698113207547</v>
      </c>
      <c r="D18" s="107" t="n">
        <f aca="false">+C18/(100+F4)*100</f>
        <v>37.7358490566038</v>
      </c>
      <c r="E18" s="107" t="n">
        <f aca="false">+C18/(100+G4)*100</f>
        <v>42.1159029649596</v>
      </c>
      <c r="F18" s="107" t="n">
        <f aca="false">+C18/(F4+G4+100)*100</f>
        <v>34.4305192122297</v>
      </c>
      <c r="G18" s="107" t="n">
        <f aca="false">IFERROR(INDEX($N$28:$N$29,MATCH(B18,$B$28:$B$29,0),1),0)</f>
        <v>9.12408759124088</v>
      </c>
      <c r="H18" s="67" t="str">
        <f aca="false">+B18</f>
        <v>Cendre</v>
      </c>
      <c r="I18" s="68" t="n">
        <f aca="false">+N18+G18*(H32+I32)</f>
        <v>47.3972986798355</v>
      </c>
      <c r="J18" s="69" t="n">
        <v>0</v>
      </c>
      <c r="K18" s="70" t="n">
        <v>0</v>
      </c>
      <c r="L18" s="70" t="n">
        <v>1</v>
      </c>
      <c r="M18" s="71" t="n">
        <v>1</v>
      </c>
      <c r="N18" s="72" t="n">
        <f aca="false">+(J18*D18+C18*K18+L18*E18+M18*F18)/(J18+K18+L18+M18)</f>
        <v>38.2732110885946</v>
      </c>
      <c r="O18" s="73"/>
      <c r="P18" s="73"/>
      <c r="Q18" s="73"/>
      <c r="R18" s="73"/>
      <c r="S18" s="56" t="n">
        <f aca="false">+(J18*D18+K18*C18+L18*E18+M18*F18)/(J18+K18+L18+M18)+IFERROR(VLOOKUP(H18,$H$28:$I$29,2,0),0)</f>
        <v>38.2732110885946</v>
      </c>
      <c r="T18" s="56"/>
      <c r="U18" s="56"/>
      <c r="V18" s="56"/>
      <c r="W18" s="56"/>
    </row>
    <row r="19" customFormat="false" ht="18.45" hidden="false" customHeight="true" outlineLevel="0" collapsed="false">
      <c r="A19" s="53"/>
      <c r="B19" s="106" t="str">
        <f aca="false">+B5</f>
        <v>Feldspath</v>
      </c>
      <c r="C19" s="107" t="n">
        <f aca="false">+C5/C15*100</f>
        <v>23.5849056603774</v>
      </c>
      <c r="D19" s="107" t="n">
        <f aca="false">+C19/(100+F4)*100</f>
        <v>18.8679245283019</v>
      </c>
      <c r="E19" s="107" t="n">
        <f aca="false">+C19/(100+G4)*100</f>
        <v>21.0579514824798</v>
      </c>
      <c r="F19" s="107" t="n">
        <f aca="false">+C19/(F4+G4+100)*100</f>
        <v>17.2152596061149</v>
      </c>
      <c r="G19" s="107" t="n">
        <f aca="false">IFERROR(INDEX($N$28:$N$29,MATCH(B19,$B$28:$B$29,0),1),0)</f>
        <v>0</v>
      </c>
      <c r="H19" s="67" t="str">
        <f aca="false">+B19</f>
        <v>Feldspath</v>
      </c>
      <c r="I19" s="68" t="n">
        <f aca="false">+N19+G19*(H33+I33)</f>
        <v>19.1366055442973</v>
      </c>
      <c r="J19" s="108" t="n">
        <f aca="false">+J18</f>
        <v>0</v>
      </c>
      <c r="K19" s="108" t="n">
        <f aca="false">+K18</f>
        <v>0</v>
      </c>
      <c r="L19" s="108" t="n">
        <f aca="false">+L18</f>
        <v>1</v>
      </c>
      <c r="M19" s="108" t="n">
        <f aca="false">+M18</f>
        <v>1</v>
      </c>
      <c r="N19" s="72" t="n">
        <f aca="false">+(J19*D19+C19*K19+L19*E19+M19*F19)/(J19+K19+L19+M19)</f>
        <v>19.1366055442973</v>
      </c>
      <c r="O19" s="73"/>
      <c r="P19" s="73"/>
      <c r="Q19" s="73"/>
      <c r="R19" s="73"/>
      <c r="S19" s="56" t="n">
        <f aca="false">+(J19*D19+K19*C19+L19*E19+M19*F19)/(J19+K19+L19+M19)+IFERROR(VLOOKUP(H19,$H$28:$I$29,2,0),0)</f>
        <v>19.1366055442973</v>
      </c>
      <c r="T19" s="56"/>
      <c r="U19" s="56"/>
      <c r="V19" s="56"/>
      <c r="W19" s="56"/>
    </row>
    <row r="20" customFormat="false" ht="18.45" hidden="false" customHeight="true" outlineLevel="0" collapsed="false">
      <c r="A20" s="53"/>
      <c r="B20" s="106" t="str">
        <f aca="false">+B6</f>
        <v>Kaolin</v>
      </c>
      <c r="C20" s="107" t="n">
        <f aca="false">+C6/C15*100</f>
        <v>23.5849056603774</v>
      </c>
      <c r="D20" s="107" t="n">
        <f aca="false">+C20/(100+F4)*100</f>
        <v>18.8679245283019</v>
      </c>
      <c r="E20" s="107" t="n">
        <f aca="false">+C20/(100+G4)*100</f>
        <v>21.0579514824798</v>
      </c>
      <c r="F20" s="107" t="n">
        <f aca="false">+C20/(F4+G4+100)*100</f>
        <v>17.2152596061149</v>
      </c>
      <c r="G20" s="107" t="n">
        <f aca="false">IFERROR(INDEX($N$28:$N$29,MATCH(B20,$B$28:$B$29,0),1),0)</f>
        <v>0</v>
      </c>
      <c r="H20" s="67" t="str">
        <f aca="false">+B20</f>
        <v>Kaolin</v>
      </c>
      <c r="I20" s="68" t="n">
        <f aca="false">+N20+G20*(H34+I34)</f>
        <v>19.1366055442973</v>
      </c>
      <c r="J20" s="108" t="n">
        <f aca="false">+J19</f>
        <v>0</v>
      </c>
      <c r="K20" s="108" t="n">
        <f aca="false">+K19</f>
        <v>0</v>
      </c>
      <c r="L20" s="108" t="n">
        <f aca="false">+L19</f>
        <v>1</v>
      </c>
      <c r="M20" s="108" t="n">
        <f aca="false">+M19</f>
        <v>1</v>
      </c>
      <c r="N20" s="72" t="n">
        <f aca="false">+(J20*D20+C20*K20+L20*E20+M20*F20)/(J20+K20+L20+M20)</f>
        <v>19.1366055442973</v>
      </c>
      <c r="O20" s="73"/>
      <c r="P20" s="73"/>
      <c r="Q20" s="73"/>
      <c r="R20" s="73"/>
      <c r="S20" s="56" t="n">
        <f aca="false">+(J20*D20+K20*C20+L20*E20+M20*F20)/(J20+K20+L20+M20)+IFERROR(VLOOKUP(H20,$H$28:$I$29,2,0),0)</f>
        <v>19.1366055442973</v>
      </c>
      <c r="T20" s="56"/>
      <c r="U20" s="56"/>
      <c r="V20" s="56"/>
      <c r="W20" s="56"/>
    </row>
    <row r="21" customFormat="false" ht="18.45" hidden="false" customHeight="true" outlineLevel="0" collapsed="false">
      <c r="A21" s="53"/>
      <c r="B21" s="106" t="str">
        <f aca="false">+B7</f>
        <v>Os</v>
      </c>
      <c r="C21" s="107" t="n">
        <f aca="false">+C7/C15*100</f>
        <v>5.66037735849057</v>
      </c>
      <c r="D21" s="107" t="n">
        <f aca="false">+C21/(100+F4)*100</f>
        <v>4.52830188679245</v>
      </c>
      <c r="E21" s="107" t="n">
        <f aca="false">+C21/(100+G4)*100</f>
        <v>5.05390835579515</v>
      </c>
      <c r="F21" s="107" t="n">
        <f aca="false">+C21/(F4+G4+100)*100</f>
        <v>4.13166230546757</v>
      </c>
      <c r="G21" s="107" t="n">
        <f aca="false">IFERROR(INDEX($N$28:$N$29,MATCH(B21,$B$28:$B$29,0),1),0)</f>
        <v>0</v>
      </c>
      <c r="H21" s="67" t="str">
        <f aca="false">+B21</f>
        <v>Os</v>
      </c>
      <c r="I21" s="68" t="n">
        <f aca="false">+N21+G21*(H35+I35)</f>
        <v>4.59278533063136</v>
      </c>
      <c r="J21" s="108" t="n">
        <f aca="false">+J20</f>
        <v>0</v>
      </c>
      <c r="K21" s="108" t="n">
        <f aca="false">+K20</f>
        <v>0</v>
      </c>
      <c r="L21" s="108" t="n">
        <f aca="false">+L20</f>
        <v>1</v>
      </c>
      <c r="M21" s="108" t="n">
        <f aca="false">+M20</f>
        <v>1</v>
      </c>
      <c r="N21" s="72" t="n">
        <f aca="false">+(J21*D21+C21*K21+L21*E21+M21*F21)/(J21+K21+L21+M21)</f>
        <v>4.59278533063136</v>
      </c>
      <c r="O21" s="73"/>
      <c r="P21" s="73"/>
      <c r="Q21" s="73"/>
      <c r="R21" s="73"/>
      <c r="S21" s="56" t="n">
        <f aca="false">+(J21*D21+K21*C21+L21*E21+M21*F21)/(J21+K21+L21+M21)+IFERROR(VLOOKUP(H21,$H$28:$I$29,2,0),0)</f>
        <v>4.59278533063136</v>
      </c>
      <c r="T21" s="56"/>
      <c r="U21" s="56"/>
      <c r="V21" s="56"/>
      <c r="W21" s="56"/>
    </row>
    <row r="22" customFormat="false" ht="18.45" hidden="false" customHeight="true" outlineLevel="0" collapsed="false">
      <c r="A22" s="53"/>
      <c r="B22" s="106" t="str">
        <f aca="false">+B8</f>
        <v>Talc</v>
      </c>
      <c r="C22" s="107" t="n">
        <f aca="false">+C8/C15*100</f>
        <v>0</v>
      </c>
      <c r="D22" s="107" t="n">
        <f aca="false">+C22/(100+F4)*100</f>
        <v>0</v>
      </c>
      <c r="E22" s="107" t="n">
        <f aca="false">+C22/(100+G4)*100</f>
        <v>0</v>
      </c>
      <c r="F22" s="107" t="n">
        <f aca="false">+C22/(F4+G4+100)*100</f>
        <v>0</v>
      </c>
      <c r="G22" s="107" t="n">
        <f aca="false">IFERROR(INDEX($N$28:$N$29,MATCH(B22,$B$28:$B$29,0),1),0)</f>
        <v>9.73670490093848</v>
      </c>
      <c r="H22" s="67" t="str">
        <f aca="false">+B22</f>
        <v>Talc</v>
      </c>
      <c r="I22" s="68" t="n">
        <f aca="false">+N22+G22*(H36+I36)</f>
        <v>9.73670490093848</v>
      </c>
      <c r="J22" s="108" t="n">
        <f aca="false">+J21</f>
        <v>0</v>
      </c>
      <c r="K22" s="108" t="n">
        <f aca="false">+K21</f>
        <v>0</v>
      </c>
      <c r="L22" s="108" t="n">
        <f aca="false">+L21</f>
        <v>1</v>
      </c>
      <c r="M22" s="108" t="n">
        <f aca="false">+M21</f>
        <v>1</v>
      </c>
      <c r="N22" s="72" t="n">
        <f aca="false">+(J22*D22+C22*K22+L22*E22+M22*F22)/(J22+K22+L22+M22)</f>
        <v>0</v>
      </c>
      <c r="O22" s="73"/>
      <c r="P22" s="73"/>
      <c r="Q22" s="73"/>
      <c r="R22" s="73"/>
      <c r="S22" s="56" t="n">
        <f aca="false">+(J22*D22+K22*C22+L22*E22+M22*F22)/(J22+K22+L22+M22)+IFERROR(VLOOKUP(H22,$H$28:$I$29,2,0),0)</f>
        <v>0</v>
      </c>
      <c r="T22" s="56"/>
      <c r="U22" s="56"/>
      <c r="V22" s="56"/>
      <c r="W22" s="56"/>
    </row>
    <row r="23" customFormat="false" ht="18.45" hidden="false" customHeight="true" outlineLevel="0" collapsed="false">
      <c r="A23" s="53"/>
      <c r="B23" s="106" t="n">
        <f aca="false">+B9</f>
        <v>0</v>
      </c>
      <c r="C23" s="107" t="n">
        <f aca="false">+C9/C15*100</f>
        <v>0</v>
      </c>
      <c r="D23" s="107" t="n">
        <f aca="false">+C23/(100+D28)*100</f>
        <v>0</v>
      </c>
      <c r="E23" s="107" t="n">
        <f aca="false">+C23/(100+G4)*100</f>
        <v>0</v>
      </c>
      <c r="F23" s="107" t="n">
        <f aca="false">+C23/(F4+G4+100)*100</f>
        <v>0</v>
      </c>
      <c r="G23" s="107" t="n">
        <f aca="false">IFERROR(INDEX($N$28:$N$29,MATCH(B23,$B$28:$B$29,0),1),0)</f>
        <v>0</v>
      </c>
      <c r="H23" s="75" t="n">
        <f aca="false">+B23</f>
        <v>0</v>
      </c>
      <c r="I23" s="68" t="n">
        <f aca="false">+N23+G23*(H37+I37)</f>
        <v>0</v>
      </c>
      <c r="J23" s="108" t="n">
        <f aca="false">+J22</f>
        <v>0</v>
      </c>
      <c r="K23" s="108" t="n">
        <f aca="false">+K22</f>
        <v>0</v>
      </c>
      <c r="L23" s="108" t="n">
        <f aca="false">+L22</f>
        <v>1</v>
      </c>
      <c r="M23" s="108" t="n">
        <f aca="false">+M22</f>
        <v>1</v>
      </c>
      <c r="N23" s="72" t="n">
        <f aca="false">+(J23*D23+C23*K23+L23*E23+M23*F23)/(J23+K23+L23+M23)</f>
        <v>0</v>
      </c>
      <c r="O23" s="73"/>
      <c r="P23" s="73"/>
      <c r="Q23" s="73"/>
      <c r="R23" s="73"/>
      <c r="S23" s="56" t="n">
        <f aca="false">+(J23*D23+K23*C23+L23*E23+M23*F23)/(J23+K23+L23+M23)+IFERROR(VLOOKUP(H23,$H$28:$I$29,2,0),0)</f>
        <v>0</v>
      </c>
      <c r="T23" s="56"/>
      <c r="U23" s="56"/>
      <c r="V23" s="56"/>
      <c r="W23" s="56"/>
    </row>
    <row r="24" customFormat="false" ht="18.45" hidden="false" customHeight="true" outlineLevel="0" collapsed="false">
      <c r="A24" s="53"/>
      <c r="B24" s="106" t="n">
        <f aca="false">+B10</f>
        <v>0</v>
      </c>
      <c r="C24" s="107" t="n">
        <f aca="false">+C10/C15*100</f>
        <v>0</v>
      </c>
      <c r="D24" s="107" t="n">
        <f aca="false">+C24/(100+D28)*100</f>
        <v>0</v>
      </c>
      <c r="E24" s="107" t="n">
        <f aca="false">+C24/(100+G4)*100</f>
        <v>0</v>
      </c>
      <c r="F24" s="107" t="n">
        <f aca="false">+C24/(F4+G4+100)*100</f>
        <v>0</v>
      </c>
      <c r="G24" s="107" t="n">
        <f aca="false">IFERROR(INDEX($N$28:$N$29,MATCH(B24,$B$28:$B$29,0),1),0)</f>
        <v>0</v>
      </c>
      <c r="H24" s="75" t="n">
        <f aca="false">+B24</f>
        <v>0</v>
      </c>
      <c r="I24" s="68" t="n">
        <f aca="false">+N24+G24*(H38+I38)</f>
        <v>0</v>
      </c>
      <c r="J24" s="108" t="n">
        <f aca="false">+J23</f>
        <v>0</v>
      </c>
      <c r="K24" s="108" t="n">
        <f aca="false">+K23</f>
        <v>0</v>
      </c>
      <c r="L24" s="108" t="n">
        <f aca="false">+L23</f>
        <v>1</v>
      </c>
      <c r="M24" s="108" t="n">
        <f aca="false">+M23</f>
        <v>1</v>
      </c>
      <c r="N24" s="72" t="n">
        <f aca="false">+(J24*D24+C24*K24+L24*E24+M24*F24)/(J24+K24+L24+M24)</f>
        <v>0</v>
      </c>
      <c r="O24" s="73"/>
      <c r="P24" s="73"/>
      <c r="Q24" s="73"/>
      <c r="R24" s="73"/>
      <c r="S24" s="56" t="n">
        <f aca="false">+(J24*D24+K24*C24+L24*E24+M24*F24)/(J24+K24+L24+M24)+IFERROR(VLOOKUP(H24,$H$28:$I$29,2,0),0)</f>
        <v>0</v>
      </c>
      <c r="T24" s="56"/>
      <c r="U24" s="56"/>
      <c r="V24" s="56"/>
      <c r="W24" s="56"/>
    </row>
    <row r="25" customFormat="false" ht="18.45" hidden="false" customHeight="true" outlineLevel="0" collapsed="false">
      <c r="A25" s="53"/>
      <c r="B25" s="106" t="n">
        <f aca="false">+B11</f>
        <v>0</v>
      </c>
      <c r="C25" s="107" t="n">
        <f aca="false">+C11/C15*100</f>
        <v>0</v>
      </c>
      <c r="D25" s="107" t="n">
        <f aca="false">+C25/(100+D28)*100</f>
        <v>0</v>
      </c>
      <c r="E25" s="107" t="n">
        <f aca="false">+C25/(100+G4)*100</f>
        <v>0</v>
      </c>
      <c r="F25" s="107" t="n">
        <f aca="false">+C25/(F4+G4+100)*100</f>
        <v>0</v>
      </c>
      <c r="G25" s="107" t="n">
        <f aca="false">IFERROR(INDEX($N$28:$N$29,MATCH(B25,$B$28:$B$29,0),1),0)</f>
        <v>0</v>
      </c>
      <c r="H25" s="75" t="n">
        <f aca="false">+B25</f>
        <v>0</v>
      </c>
      <c r="I25" s="68" t="n">
        <f aca="false">+N25+G25*(H39+I39)</f>
        <v>0</v>
      </c>
      <c r="J25" s="108" t="n">
        <f aca="false">+J24</f>
        <v>0</v>
      </c>
      <c r="K25" s="108" t="n">
        <f aca="false">+K24</f>
        <v>0</v>
      </c>
      <c r="L25" s="108" t="n">
        <f aca="false">+L24</f>
        <v>1</v>
      </c>
      <c r="M25" s="108" t="n">
        <f aca="false">+M24</f>
        <v>1</v>
      </c>
      <c r="N25" s="72" t="n">
        <f aca="false">+(J25*D25+C25*K25+L25*E25+M25*F25)/(J25+K25+L25+M25)</f>
        <v>0</v>
      </c>
      <c r="O25" s="73"/>
      <c r="P25" s="73"/>
      <c r="Q25" s="73"/>
      <c r="R25" s="73"/>
      <c r="S25" s="56" t="n">
        <f aca="false">+(J25*D25+K25*C25+L25*E25+M25*F25)/(J25+K25+L25+M25)+IFERROR(VLOOKUP(H25,$H$28:$I$29,2,0),0)</f>
        <v>0</v>
      </c>
      <c r="T25" s="56"/>
      <c r="U25" s="56"/>
      <c r="V25" s="56"/>
      <c r="W25" s="56"/>
    </row>
    <row r="26" customFormat="false" ht="18.45" hidden="false" customHeight="true" outlineLevel="0" collapsed="false">
      <c r="A26" s="53"/>
      <c r="B26" s="106" t="n">
        <f aca="false">+B12</f>
        <v>0</v>
      </c>
      <c r="C26" s="107" t="n">
        <f aca="false">+C12/C15*100</f>
        <v>0</v>
      </c>
      <c r="D26" s="107" t="n">
        <f aca="false">+C26/(100+D28)*100</f>
        <v>0</v>
      </c>
      <c r="E26" s="107" t="n">
        <f aca="false">+D26/(100+G4)*100</f>
        <v>0</v>
      </c>
      <c r="F26" s="107" t="n">
        <f aca="false">+C26/(F4+G4+100)*100</f>
        <v>0</v>
      </c>
      <c r="G26" s="107" t="n">
        <f aca="false">IFERROR(INDEX($N$28:$N$29,MATCH(B26,$B$28:$B$29,0),1),0)</f>
        <v>0</v>
      </c>
      <c r="H26" s="75" t="n">
        <f aca="false">+B26</f>
        <v>0</v>
      </c>
      <c r="I26" s="68" t="n">
        <f aca="false">+N26+G26*(H40+I40)</f>
        <v>0</v>
      </c>
      <c r="J26" s="108" t="n">
        <f aca="false">+J25</f>
        <v>0</v>
      </c>
      <c r="K26" s="108" t="n">
        <f aca="false">+K25</f>
        <v>0</v>
      </c>
      <c r="L26" s="108" t="n">
        <f aca="false">+L25</f>
        <v>1</v>
      </c>
      <c r="M26" s="108" t="n">
        <f aca="false">+M25</f>
        <v>1</v>
      </c>
      <c r="N26" s="72" t="n">
        <f aca="false">+(J26*D26+C26*K26+L26*E26+M26*F26)/(J26+K26+L26+M26)</f>
        <v>0</v>
      </c>
      <c r="O26" s="73"/>
      <c r="P26" s="73"/>
      <c r="Q26" s="73"/>
      <c r="R26" s="73"/>
      <c r="S26" s="56" t="n">
        <f aca="false">+(J26*D26+K26*C26+L26*E26+M26*F26)/(J26+K26+L26+M26)+IFERROR(VLOOKUP(H26,$H$28:$I$29,2,0),0)</f>
        <v>0</v>
      </c>
      <c r="T26" s="56"/>
      <c r="U26" s="56"/>
      <c r="V26" s="56"/>
      <c r="W26" s="56"/>
    </row>
    <row r="27" customFormat="false" ht="18.45" hidden="false" customHeight="true" outlineLevel="0" collapsed="false">
      <c r="A27" s="53"/>
      <c r="B27" s="106" t="n">
        <f aca="false">+B13</f>
        <v>0</v>
      </c>
      <c r="C27" s="107" t="n">
        <f aca="false">+C14/C15*100</f>
        <v>0</v>
      </c>
      <c r="D27" s="107" t="n">
        <f aca="false">+C27/(100+D28)*100</f>
        <v>0</v>
      </c>
      <c r="E27" s="107" t="n">
        <f aca="false">+C27/(100+G13)*100</f>
        <v>0</v>
      </c>
      <c r="F27" s="107" t="n">
        <f aca="false">+C27/(F4+G4+100)*100</f>
        <v>0</v>
      </c>
      <c r="G27" s="107" t="n">
        <f aca="false">IFERROR(INDEX($N$28:$N$29,MATCH(B27,$B$28:$B$29,0),1),0)</f>
        <v>0</v>
      </c>
      <c r="H27" s="75" t="n">
        <f aca="false">+B27</f>
        <v>0</v>
      </c>
      <c r="I27" s="68" t="n">
        <f aca="false">+N27+G27*(H41+I41)</f>
        <v>0</v>
      </c>
      <c r="J27" s="108" t="n">
        <f aca="false">+J26</f>
        <v>0</v>
      </c>
      <c r="K27" s="108" t="n">
        <f aca="false">+K26</f>
        <v>0</v>
      </c>
      <c r="L27" s="108" t="n">
        <f aca="false">+L26</f>
        <v>1</v>
      </c>
      <c r="M27" s="108" t="n">
        <f aca="false">+M26</f>
        <v>1</v>
      </c>
      <c r="N27" s="72" t="n">
        <f aca="false">+(J27*D27+C27*K27+L27*E27+M27*F27)/(J27+K27+L27+M27)</f>
        <v>0</v>
      </c>
      <c r="O27" s="73"/>
      <c r="P27" s="73"/>
      <c r="Q27" s="73"/>
      <c r="R27" s="73"/>
      <c r="S27" s="56" t="n">
        <f aca="false">+(J27*D27+K27*C27+L27*E27+M27*F27)/(J27+K27+L27+M27)+IFERROR(VLOOKUP(H27,$H$28:$I$29,2,0),0)</f>
        <v>0</v>
      </c>
      <c r="T27" s="56"/>
      <c r="U27" s="56"/>
      <c r="V27" s="56"/>
      <c r="W27" s="56"/>
    </row>
    <row r="28" customFormat="false" ht="18.45" hidden="false" customHeight="true" outlineLevel="0" collapsed="false">
      <c r="A28" s="53"/>
      <c r="B28" s="106" t="str">
        <f aca="false">+F3</f>
        <v>Cendre</v>
      </c>
      <c r="C28" s="107" t="n">
        <v>0</v>
      </c>
      <c r="D28" s="107" t="n">
        <f aca="false">+F4/(F4+100)*100</f>
        <v>20</v>
      </c>
      <c r="E28" s="107" t="n">
        <v>0</v>
      </c>
      <c r="F28" s="107" t="n">
        <f aca="false">+F4/(G4+F4+100)*100</f>
        <v>18.2481751824818</v>
      </c>
      <c r="G28" s="107" t="n">
        <f aca="false">IFERROR(INDEX($N$28:$N$29,MATCH(B28,$B$28:$B$29,0),1),0)</f>
        <v>9.12408759124088</v>
      </c>
      <c r="H28" s="76" t="str">
        <f aca="false">+IF(H43=0,F3,"")</f>
        <v/>
      </c>
      <c r="I28" s="77" t="str">
        <f aca="false">+IF(H43=0,N28,"")</f>
        <v/>
      </c>
      <c r="J28" s="108" t="n">
        <f aca="false">+J27</f>
        <v>0</v>
      </c>
      <c r="K28" s="108" t="n">
        <f aca="false">+K27</f>
        <v>0</v>
      </c>
      <c r="L28" s="108" t="n">
        <f aca="false">+L27</f>
        <v>1</v>
      </c>
      <c r="M28" s="108" t="n">
        <f aca="false">+M27</f>
        <v>1</v>
      </c>
      <c r="N28" s="118" t="n">
        <f aca="false">+(J28*D28+C28*K28+L28*E28+M28*F28)/(J28+K28+L28+M28)</f>
        <v>9.12408759124088</v>
      </c>
      <c r="O28" s="73"/>
      <c r="P28" s="73"/>
      <c r="Q28" s="73"/>
      <c r="R28" s="73"/>
      <c r="S28" s="78"/>
      <c r="T28" s="56"/>
      <c r="U28" s="56"/>
      <c r="V28" s="56"/>
      <c r="W28" s="56"/>
    </row>
    <row r="29" customFormat="false" ht="18.45" hidden="false" customHeight="true" outlineLevel="0" collapsed="false">
      <c r="A29" s="53"/>
      <c r="B29" s="106" t="str">
        <f aca="false">+G3</f>
        <v>Talc</v>
      </c>
      <c r="C29" s="107" t="n">
        <v>0</v>
      </c>
      <c r="D29" s="107" t="n">
        <v>0</v>
      </c>
      <c r="E29" s="107" t="n">
        <f aca="false">+G4/(G4+100)*100</f>
        <v>10.7142857142857</v>
      </c>
      <c r="F29" s="107" t="n">
        <f aca="false">+G4/(G4+F4+100)*100</f>
        <v>8.75912408759124</v>
      </c>
      <c r="G29" s="107"/>
      <c r="H29" s="109" t="str">
        <f aca="false">+IF(I43=0,G3,"")</f>
        <v/>
      </c>
      <c r="I29" s="110" t="str">
        <f aca="false">+IF(I43=0,N29,"")</f>
        <v/>
      </c>
      <c r="J29" s="108" t="n">
        <f aca="false">+J28</f>
        <v>0</v>
      </c>
      <c r="K29" s="108" t="n">
        <f aca="false">+K28</f>
        <v>0</v>
      </c>
      <c r="L29" s="108" t="n">
        <f aca="false">+L28</f>
        <v>1</v>
      </c>
      <c r="M29" s="108" t="n">
        <f aca="false">+M28</f>
        <v>1</v>
      </c>
      <c r="N29" s="118" t="n">
        <f aca="false">+(J29*D29+C29*K29+L29*E29+M29*F29)/(J29+K29+L29+M29)</f>
        <v>9.73670490093848</v>
      </c>
      <c r="O29" s="81"/>
      <c r="P29" s="81"/>
      <c r="Q29" s="73"/>
      <c r="R29" s="73"/>
      <c r="S29" s="78"/>
      <c r="T29" s="56"/>
      <c r="U29" s="56"/>
      <c r="V29" s="56"/>
      <c r="W29" s="56"/>
    </row>
    <row r="30" customFormat="false" ht="18.45" hidden="false" customHeight="true" outlineLevel="0" collapsed="false">
      <c r="A30" s="53"/>
      <c r="B30" s="53"/>
      <c r="C30" s="82"/>
      <c r="D30" s="82"/>
      <c r="E30" s="82"/>
      <c r="F30" s="82"/>
      <c r="G30" s="82"/>
      <c r="H30" s="73"/>
      <c r="I30" s="73"/>
      <c r="J30" s="73"/>
      <c r="K30" s="73"/>
      <c r="L30" s="73"/>
      <c r="M30" s="73"/>
      <c r="N30" s="81" t="s">
        <v>41</v>
      </c>
      <c r="O30" s="81"/>
      <c r="P30" s="73"/>
      <c r="Q30" s="73"/>
      <c r="R30" s="73"/>
      <c r="S30" s="78"/>
      <c r="T30" s="56"/>
      <c r="U30" s="56"/>
      <c r="V30" s="56"/>
      <c r="W30" s="56"/>
    </row>
    <row r="31" customFormat="false" ht="18.45" hidden="false" customHeight="true" outlineLevel="0" collapsed="false">
      <c r="A31" s="3"/>
      <c r="B31" s="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8"/>
      <c r="T31" s="56"/>
      <c r="U31" s="56"/>
      <c r="V31" s="56"/>
      <c r="W31" s="56"/>
    </row>
    <row r="32" customFormat="false" ht="18.45" hidden="false" customHeight="true" outlineLevel="0" collapsed="false">
      <c r="C32" s="86"/>
      <c r="D32" s="86"/>
      <c r="E32" s="86"/>
      <c r="F32" s="86"/>
      <c r="G32" s="84"/>
      <c r="H32" s="87" t="n">
        <f aca="false">+IF(B18=$B$28,1,0)</f>
        <v>1</v>
      </c>
      <c r="I32" s="87" t="n">
        <f aca="false">+IF(B18=$B$29,1,0)</f>
        <v>0</v>
      </c>
      <c r="J32" s="84"/>
      <c r="K32" s="86"/>
      <c r="L32" s="86"/>
      <c r="M32" s="86"/>
      <c r="N32" s="86"/>
      <c r="O32" s="86"/>
      <c r="P32" s="86"/>
      <c r="Q32" s="86"/>
      <c r="R32" s="86"/>
      <c r="S32" s="86"/>
    </row>
    <row r="33" customFormat="false" ht="18.45" hidden="false" customHeight="true" outlineLevel="0" collapsed="false">
      <c r="C33" s="86"/>
      <c r="D33" s="86"/>
      <c r="E33" s="86"/>
      <c r="F33" s="86"/>
      <c r="G33" s="84"/>
      <c r="H33" s="87" t="n">
        <f aca="false">+IF(B19=$B$28,1,0)</f>
        <v>0</v>
      </c>
      <c r="I33" s="87" t="n">
        <f aca="false">+IF(B19=$B$29,1,0)</f>
        <v>0</v>
      </c>
      <c r="J33" s="84"/>
      <c r="K33" s="86"/>
      <c r="L33" s="86"/>
      <c r="M33" s="86"/>
      <c r="N33" s="86"/>
      <c r="O33" s="86"/>
      <c r="P33" s="86"/>
      <c r="Q33" s="86"/>
      <c r="R33" s="86"/>
      <c r="S33" s="86"/>
    </row>
    <row r="34" customFormat="false" ht="18.45" hidden="false" customHeight="true" outlineLevel="0" collapsed="false">
      <c r="C34" s="86"/>
      <c r="D34" s="86"/>
      <c r="E34" s="86"/>
      <c r="F34" s="86"/>
      <c r="G34" s="84"/>
      <c r="H34" s="87" t="n">
        <f aca="false">+IF(B20=$B$28,1,0)</f>
        <v>0</v>
      </c>
      <c r="I34" s="87" t="n">
        <f aca="false">+IF(B20=$B$29,1,0)</f>
        <v>0</v>
      </c>
      <c r="J34" s="84"/>
      <c r="K34" s="86"/>
      <c r="L34" s="86"/>
      <c r="M34" s="86"/>
      <c r="N34" s="86"/>
      <c r="O34" s="86"/>
      <c r="P34" s="86"/>
      <c r="Q34" s="86"/>
      <c r="R34" s="86"/>
      <c r="S34" s="86"/>
    </row>
    <row r="35" customFormat="false" ht="12.85" hidden="false" customHeight="false" outlineLevel="0" collapsed="false">
      <c r="C35" s="86"/>
      <c r="D35" s="86"/>
      <c r="E35" s="86"/>
      <c r="F35" s="86"/>
      <c r="G35" s="84"/>
      <c r="H35" s="87" t="n">
        <f aca="false">+IF(B21=$B$28,1,0)</f>
        <v>0</v>
      </c>
      <c r="I35" s="87" t="n">
        <f aca="false">+IF(B21=$B$29,1,0)</f>
        <v>0</v>
      </c>
      <c r="J35" s="84"/>
      <c r="K35" s="86"/>
      <c r="L35" s="86"/>
      <c r="M35" s="86"/>
      <c r="N35" s="86"/>
      <c r="O35" s="86"/>
      <c r="P35" s="86"/>
      <c r="Q35" s="86"/>
      <c r="R35" s="86"/>
      <c r="S35" s="86"/>
    </row>
    <row r="36" customFormat="false" ht="12.85" hidden="false" customHeight="false" outlineLevel="0" collapsed="false">
      <c r="C36" s="86"/>
      <c r="D36" s="86"/>
      <c r="E36" s="86"/>
      <c r="F36" s="86"/>
      <c r="G36" s="84"/>
      <c r="H36" s="87" t="n">
        <f aca="false">+IF(B22=$B$28,1,0)</f>
        <v>0</v>
      </c>
      <c r="I36" s="87" t="n">
        <f aca="false">+IF(B22=$B$29,1,0)</f>
        <v>1</v>
      </c>
      <c r="J36" s="84"/>
      <c r="K36" s="86"/>
      <c r="L36" s="86"/>
      <c r="M36" s="86"/>
      <c r="N36" s="86"/>
      <c r="O36" s="86"/>
      <c r="P36" s="86"/>
      <c r="Q36" s="86"/>
      <c r="R36" s="86"/>
      <c r="S36" s="86"/>
    </row>
    <row r="37" customFormat="false" ht="12.85" hidden="false" customHeight="false" outlineLevel="0" collapsed="false">
      <c r="C37" s="86"/>
      <c r="D37" s="86"/>
      <c r="E37" s="86"/>
      <c r="F37" s="86"/>
      <c r="G37" s="84"/>
      <c r="H37" s="87" t="n">
        <f aca="false">+IF(B23=$B$28,1,0)</f>
        <v>0</v>
      </c>
      <c r="I37" s="87" t="n">
        <f aca="false">+IF(B23=$B$29,1,0)</f>
        <v>0</v>
      </c>
      <c r="J37" s="84"/>
      <c r="K37" s="86"/>
      <c r="L37" s="86"/>
      <c r="M37" s="86"/>
      <c r="N37" s="86"/>
      <c r="O37" s="86"/>
      <c r="P37" s="86"/>
      <c r="Q37" s="86"/>
      <c r="R37" s="86"/>
      <c r="S37" s="86"/>
    </row>
    <row r="38" customFormat="false" ht="12.85" hidden="false" customHeight="false" outlineLevel="0" collapsed="false">
      <c r="C38" s="86"/>
      <c r="D38" s="86"/>
      <c r="E38" s="86"/>
      <c r="F38" s="86"/>
      <c r="G38" s="84"/>
      <c r="H38" s="87" t="n">
        <f aca="false">+IF(B24=$B$28,1,0)</f>
        <v>0</v>
      </c>
      <c r="I38" s="87" t="n">
        <f aca="false">+IF(B24=$B$29,1,0)</f>
        <v>0</v>
      </c>
      <c r="J38" s="84"/>
      <c r="K38" s="86"/>
      <c r="L38" s="86"/>
      <c r="M38" s="86"/>
      <c r="N38" s="86"/>
      <c r="O38" s="86"/>
      <c r="P38" s="86"/>
      <c r="Q38" s="86"/>
      <c r="R38" s="86"/>
      <c r="S38" s="86"/>
    </row>
    <row r="39" customFormat="false" ht="12.85" hidden="false" customHeight="false" outlineLevel="0" collapsed="false">
      <c r="C39" s="86"/>
      <c r="D39" s="86"/>
      <c r="E39" s="86"/>
      <c r="F39" s="86"/>
      <c r="G39" s="84"/>
      <c r="H39" s="87" t="n">
        <f aca="false">+IF(B25=$B$28,1,0)</f>
        <v>0</v>
      </c>
      <c r="I39" s="87" t="n">
        <f aca="false">+IF(B25=$B$29,1,0)</f>
        <v>0</v>
      </c>
      <c r="J39" s="84"/>
      <c r="K39" s="86"/>
      <c r="L39" s="86"/>
      <c r="M39" s="86"/>
      <c r="N39" s="86"/>
      <c r="O39" s="86"/>
      <c r="P39" s="86"/>
      <c r="Q39" s="86"/>
      <c r="R39" s="86"/>
      <c r="S39" s="86"/>
    </row>
    <row r="40" customFormat="false" ht="12.85" hidden="false" customHeight="false" outlineLevel="0" collapsed="false">
      <c r="C40" s="86"/>
      <c r="D40" s="86"/>
      <c r="E40" s="86"/>
      <c r="F40" s="86"/>
      <c r="G40" s="84"/>
      <c r="H40" s="87" t="n">
        <f aca="false">+IF(B26=$B$28,1,0)</f>
        <v>0</v>
      </c>
      <c r="I40" s="87" t="n">
        <f aca="false">+IF(B26=$B$29,1,0)</f>
        <v>0</v>
      </c>
      <c r="J40" s="84"/>
      <c r="K40" s="86"/>
      <c r="L40" s="86"/>
      <c r="M40" s="86"/>
      <c r="N40" s="86"/>
      <c r="O40" s="86"/>
      <c r="P40" s="86"/>
      <c r="Q40" s="86"/>
      <c r="R40" s="86"/>
      <c r="S40" s="86"/>
    </row>
    <row r="41" customFormat="false" ht="12.85" hidden="false" customHeight="false" outlineLevel="0" collapsed="false">
      <c r="B41" s="64"/>
      <c r="C41" s="86"/>
      <c r="D41" s="86"/>
      <c r="E41" s="86"/>
      <c r="F41" s="86"/>
      <c r="G41" s="84"/>
      <c r="H41" s="87" t="n">
        <f aca="false">+IF(B27=$B$28,1,0)</f>
        <v>0</v>
      </c>
      <c r="I41" s="87" t="n">
        <f aca="false">+IF(B27=$B$29,1,0)</f>
        <v>0</v>
      </c>
      <c r="J41" s="84"/>
      <c r="K41" s="86"/>
      <c r="L41" s="86"/>
      <c r="M41" s="86"/>
      <c r="N41" s="86"/>
      <c r="O41" s="86"/>
      <c r="P41" s="86"/>
      <c r="Q41" s="86"/>
      <c r="R41" s="86"/>
      <c r="S41" s="86"/>
    </row>
    <row r="42" customFormat="false" ht="12.85" hidden="false" customHeight="false" outlineLevel="0" collapsed="false">
      <c r="C42" s="86"/>
      <c r="D42" s="86"/>
      <c r="E42" s="86"/>
      <c r="F42" s="86"/>
      <c r="G42" s="84"/>
      <c r="H42" s="78"/>
      <c r="I42" s="78"/>
      <c r="J42" s="84"/>
      <c r="K42" s="86"/>
      <c r="L42" s="86"/>
      <c r="M42" s="86"/>
      <c r="N42" s="86"/>
      <c r="O42" s="86"/>
      <c r="P42" s="86"/>
      <c r="Q42" s="86"/>
      <c r="R42" s="86"/>
      <c r="S42" s="86"/>
    </row>
    <row r="43" customFormat="false" ht="12.85" hidden="false" customHeight="false" outlineLevel="0" collapsed="false">
      <c r="G43" s="85"/>
      <c r="H43" s="56" t="n">
        <f aca="false">SUM(H32:H42)</f>
        <v>1</v>
      </c>
      <c r="I43" s="56" t="n">
        <f aca="false">SUM(I32:I42)</f>
        <v>1</v>
      </c>
      <c r="J43" s="85"/>
    </row>
    <row r="44" customFormat="false" ht="12.85" hidden="false" customHeight="false" outlineLevel="0" collapsed="false">
      <c r="G44" s="85"/>
      <c r="H44" s="56"/>
      <c r="I44" s="56"/>
      <c r="J44" s="85"/>
    </row>
    <row r="45" customFormat="false" ht="12.85" hidden="false" customHeight="false" outlineLevel="0" collapsed="false">
      <c r="G45" s="85"/>
      <c r="H45" s="85"/>
      <c r="I45" s="85"/>
      <c r="J45" s="85"/>
    </row>
    <row r="46" customFormat="false" ht="12.85" hidden="false" customHeight="false" outlineLevel="0" collapsed="false">
      <c r="G46" s="85"/>
      <c r="H46" s="85"/>
      <c r="I46" s="85"/>
      <c r="J46" s="85"/>
    </row>
    <row r="47" customFormat="false" ht="12.85" hidden="false" customHeight="false" outlineLevel="0" collapsed="false">
      <c r="G47" s="85"/>
      <c r="H47" s="85"/>
      <c r="I47" s="85"/>
      <c r="J47" s="85"/>
    </row>
    <row r="48" customFormat="false" ht="12.85" hidden="false" customHeight="false" outlineLevel="0" collapsed="false">
      <c r="G48" s="85"/>
      <c r="H48" s="85"/>
      <c r="I48" s="85"/>
      <c r="J48" s="85"/>
    </row>
    <row r="49" customFormat="false" ht="12.85" hidden="false" customHeight="false" outlineLevel="0" collapsed="false">
      <c r="G49" s="85"/>
      <c r="H49" s="85"/>
      <c r="I49" s="85"/>
      <c r="J49" s="85"/>
    </row>
    <row r="50" customFormat="false" ht="12.85" hidden="false" customHeight="false" outlineLevel="0" collapsed="false">
      <c r="G50" s="85"/>
      <c r="H50" s="85"/>
      <c r="I50" s="85"/>
      <c r="J50" s="85"/>
    </row>
    <row r="51" customFormat="false" ht="12.85" hidden="false" customHeight="false" outlineLevel="0" collapsed="false">
      <c r="G51" s="85"/>
      <c r="H51" s="85"/>
      <c r="I51" s="85"/>
      <c r="J51" s="85"/>
    </row>
    <row r="52" customFormat="false" ht="12.85" hidden="false" customHeight="false" outlineLevel="0" collapsed="false">
      <c r="G52" s="85"/>
      <c r="H52" s="85"/>
      <c r="I52" s="85"/>
      <c r="J52" s="85"/>
    </row>
    <row r="53" customFormat="false" ht="12.85" hidden="false" customHeight="false" outlineLevel="0" collapsed="false">
      <c r="G53" s="85"/>
      <c r="H53" s="85"/>
      <c r="I53" s="85"/>
      <c r="J53" s="85"/>
    </row>
    <row r="54" customFormat="false" ht="12.85" hidden="false" customHeight="false" outlineLevel="0" collapsed="false">
      <c r="G54" s="85"/>
      <c r="H54" s="85"/>
      <c r="I54" s="85"/>
      <c r="J54" s="85"/>
    </row>
    <row r="62" customFormat="false" ht="12.85" hidden="false" customHeight="false" outlineLevel="0" collapsed="false">
      <c r="G62" s="88"/>
    </row>
    <row r="71" customFormat="false" ht="12.85" hidden="false" customHeight="false" outlineLevel="0" collapsed="false">
      <c r="B71" s="89"/>
      <c r="C71" s="89"/>
      <c r="D71" s="89"/>
      <c r="E71" s="89"/>
      <c r="F71" s="89"/>
      <c r="G71" s="89"/>
      <c r="H71" s="89"/>
      <c r="I71" s="89"/>
      <c r="J71" s="89"/>
      <c r="K71" s="89"/>
    </row>
  </sheetData>
  <sheetProtection sheet="true" objects="true" scenarios="true" selectLockedCells="true"/>
  <conditionalFormatting sqref="B4:C14 B18:F20 H17:H27 J4:K15 N18:N29 I18:I27">
    <cfRule type="cellIs" priority="2" operator="equal" aboveAverage="0" equalAverage="0" bottom="0" percent="0" rank="0" text="" dxfId="0">
      <formula>0</formula>
    </cfRule>
  </conditionalFormatting>
  <conditionalFormatting sqref="A29:G29 D3 A21:F29">
    <cfRule type="cellIs" priority="3" operator="equal" aboveAverage="0" equalAverage="0" bottom="0" percent="0" rank="0" text="" dxfId="1">
      <formula>0</formula>
    </cfRule>
  </conditionalFormatting>
  <conditionalFormatting sqref="H28:I28">
    <cfRule type="cellIs" priority="4" operator="equal" aboveAverage="0" equalAverage="0" bottom="0" percent="0" rank="0" text="" dxfId="2">
      <formula>0</formula>
    </cfRule>
  </conditionalFormatting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1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3233</TotalTime>
  <Application>LibreOffice/6.1.0.3$Windows_X86_64 LibreOffice_project/efb621ed25068d70781dc026f7e9c5187a4decd1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2022-09-11T19:59:25Z</dcterms:created>
  <dc:creator>Alaint Fichot</dc:creator>
  <dc:description/>
  <dc:language>en-US</dc:language>
  <cp:lastModifiedBy/>
  <dcterms:modified xsi:type="dcterms:W3CDTF">2022-10-14T12:29:22Z</dcterms:modified>
  <cp:revision>77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